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0116"/>
  <workbookPr hidePivotFieldList="1" autoCompressPictures="0"/>
  <mc:AlternateContent xmlns:mc="http://schemas.openxmlformats.org/markup-compatibility/2006">
    <mc:Choice Requires="x15">
      <x15ac:absPath xmlns:x15ac="http://schemas.microsoft.com/office/spreadsheetml/2010/11/ac" url="/Users/Alyon4800/Dropbox/Professional/Solo Clients/Focused Energy/Marketing Content/Multimedia/Website Resources/"/>
    </mc:Choice>
  </mc:AlternateContent>
  <bookViews>
    <workbookView xWindow="60" yWindow="460" windowWidth="38340" windowHeight="21140" tabRatio="1000" xr2:uid="{00000000-000D-0000-FFFF-FFFF00000000}"/>
  </bookViews>
  <sheets>
    <sheet name="Cash Flow by Week" sheetId="8" r:id="rId1"/>
    <sheet name="P&amp;L Forecast by Week" sheetId="17" r:id="rId2"/>
    <sheet name="P&amp;L by Week Actual (Notated)" sheetId="1" r:id="rId3"/>
    <sheet name="T&amp;E Budget" sheetId="15" r:id="rId4"/>
    <sheet name="Headcount Budget" sheetId="4" r:id="rId5"/>
    <sheet name="AP Aging Detail" sheetId="9" r:id="rId6"/>
    <sheet name="P&amp;L by Week Actuals" sheetId="16" r:id="rId7"/>
  </sheets>
  <definedNames>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5">'AP Aging Detail'!$A:$A,'AP Aging Detail'!$1:$1</definedName>
    <definedName name="QB_COLUMN_1" localSheetId="5" hidden="1">'AP Aging Detail'!$B$1</definedName>
    <definedName name="QB_COLUMN_13" localSheetId="5" hidden="1">'AP Aging Detail'!$L$1</definedName>
    <definedName name="QB_COLUMN_24" localSheetId="5" hidden="1">'AP Aging Detail'!$N$1</definedName>
    <definedName name="QB_COLUMN_25" localSheetId="5" hidden="1">'AP Aging Detail'!$P$1</definedName>
    <definedName name="QB_COLUMN_3" localSheetId="5" hidden="1">'AP Aging Detail'!$D$1</definedName>
    <definedName name="QB_COLUMN_4" localSheetId="5" hidden="1">'AP Aging Detail'!$F$1</definedName>
    <definedName name="QB_COLUMN_5" localSheetId="5" hidden="1">'AP Aging Detail'!$I$1</definedName>
    <definedName name="QB_COLUMN_7" localSheetId="5" hidden="1">'AP Aging Detail'!$J$1</definedName>
    <definedName name="QB_DATA_0" localSheetId="5" hidden="1">'AP Aging Detail'!$3:$3,'AP Aging Detail'!$6:$6,'AP Aging Detail'!#REF!,'AP Aging Detail'!#REF!,'AP Aging Detail'!#REF!,'AP Aging Detail'!#REF!,'AP Aging Detail'!#REF!,'AP Aging Detail'!#REF!,'AP Aging Detail'!#REF!,'AP Aging Detail'!#REF!,'AP Aging Detail'!#REF!,'AP Aging Detail'!#REF!,'AP Aging Detail'!#REF!,'AP Aging Detail'!#REF!,'AP Aging Detail'!#REF!,'AP Aging Detail'!#REF!</definedName>
    <definedName name="QB_DATA_1" localSheetId="5" hidden="1">'AP Aging Detail'!#REF!,'AP Aging Detail'!#REF!,'AP Aging Detail'!#REF!,'AP Aging Detail'!#REF!,'AP Aging Detail'!#REF!,'AP Aging Detail'!#REF!,'AP Aging Detail'!#REF!,'AP Aging Detail'!#REF!,'AP Aging Detail'!#REF!,'AP Aging Detail'!#REF!,'AP Aging Detail'!#REF!,'AP Aging Detail'!#REF!,'AP Aging Detail'!#REF!,'AP Aging Detail'!#REF!,'AP Aging Detail'!#REF!,'AP Aging Detail'!#REF!</definedName>
    <definedName name="QB_DATA_2" localSheetId="5" hidden="1">'AP Aging Detail'!#REF!,'AP Aging Detail'!#REF!,'AP Aging Detail'!#REF!,'AP Aging Detail'!#REF!,'AP Aging Detail'!#REF!,'AP Aging Detail'!#REF!,'AP Aging Detail'!#REF!,'AP Aging Detail'!#REF!,'AP Aging Detail'!#REF!,'AP Aging Detail'!#REF!,'AP Aging Detail'!#REF!,'AP Aging Detail'!#REF!,'AP Aging Detail'!#REF!,'AP Aging Detail'!#REF!,'AP Aging Detail'!#REF!,'AP Aging Detail'!#REF!</definedName>
    <definedName name="QB_DATA_3" localSheetId="5" hidden="1">'AP Aging Detail'!#REF!,'AP Aging Detail'!#REF!,'AP Aging Detail'!#REF!,'AP Aging Detail'!#REF!,'AP Aging Detail'!#REF!,'AP Aging Detail'!#REF!,'AP Aging Detail'!#REF!,'AP Aging Detail'!#REF!,'AP Aging Detail'!#REF!,'AP Aging Detail'!#REF!,'AP Aging Detail'!#REF!,'AP Aging Detail'!#REF!,'AP Aging Detail'!#REF!,'AP Aging Detail'!#REF!,'AP Aging Detail'!#REF!,'AP Aging Detail'!#REF!</definedName>
    <definedName name="QB_DATA_4" localSheetId="5" hidden="1">'AP Aging Detail'!#REF!,'AP Aging Detail'!#REF!,'AP Aging Detail'!#REF!,'AP Aging Detail'!#REF!,'AP Aging Detail'!#REF!,'AP Aging Detail'!#REF!,'AP Aging Detail'!#REF!,'AP Aging Detail'!#REF!</definedName>
    <definedName name="QB_FORMULA_0" localSheetId="5" hidden="1">'AP Aging Detail'!$P$4,'AP Aging Detail'!#REF!,'AP Aging Detail'!#REF!,'AP Aging Detail'!#REF!,'AP Aging Detail'!#REF!,'AP Aging Detail'!$P$7</definedName>
    <definedName name="QB_ROW_7701" localSheetId="5" hidden="1">'AP Aging Detail'!$A$2</definedName>
    <definedName name="QB_ROW_7702" localSheetId="5" hidden="1">'AP Aging Detail'!$A$5</definedName>
    <definedName name="QB_ROW_7703" localSheetId="5" hidden="1">'AP Aging Detail'!#REF!</definedName>
    <definedName name="QB_ROW_7704" localSheetId="5" hidden="1">'AP Aging Detail'!#REF!</definedName>
    <definedName name="QB_ROW_7705" localSheetId="5" hidden="1">'AP Aging Detail'!#REF!</definedName>
    <definedName name="QB_ROW_7731" localSheetId="5" hidden="1">'AP Aging Detail'!$A$4</definedName>
    <definedName name="QB_ROW_7732" localSheetId="5" hidden="1">'AP Aging Detail'!#REF!</definedName>
    <definedName name="QB_ROW_7733" localSheetId="5" hidden="1">'AP Aging Detail'!#REF!</definedName>
    <definedName name="QB_ROW_7734" localSheetId="5" hidden="1">'AP Aging Detail'!#REF!</definedName>
    <definedName name="QB_ROW_7735" localSheetId="5" hidden="1">'AP Aging Detail'!#REF!</definedName>
    <definedName name="QB_ROW_8030" localSheetId="5" hidden="1">'AP Aging Detail'!$A$7</definedName>
    <definedName name="QBCANSUPPORTUPDATE" localSheetId="5">TRUE</definedName>
    <definedName name="QBCOMPANYFILENAME" localSheetId="5">"D:\QB Data\Iterate Studio\Iterate Studio.QBW"</definedName>
    <definedName name="QBENDDATE" localSheetId="5">20150807</definedName>
    <definedName name="QBHEADERSONSCREEN" localSheetId="5">FALSE</definedName>
    <definedName name="QBMETADATASIZE" localSheetId="5">7452</definedName>
    <definedName name="QBPRESERVECOLOR" localSheetId="5">TRUE</definedName>
    <definedName name="QBPRESERVEFONT" localSheetId="5">TRUE</definedName>
    <definedName name="QBPRESERVEROWHEIGHT" localSheetId="5">TRUE</definedName>
    <definedName name="QBPRESERVESPACE" localSheetId="5">TRUE</definedName>
    <definedName name="QBREPORTCOLAXIS" localSheetId="5">0</definedName>
    <definedName name="QBREPORTCOMPANYID" localSheetId="5">"d00df51b2a95452490d9efb3f715758f"</definedName>
    <definedName name="QBREPORTCOMPARECOL_ANNUALBUDGET" localSheetId="5">FALSE</definedName>
    <definedName name="QBREPORTCOMPARECOL_AVGCOGS" localSheetId="5">FALSE</definedName>
    <definedName name="QBREPORTCOMPARECOL_AVGPRICE" localSheetId="5">FALSE</definedName>
    <definedName name="QBREPORTCOMPARECOL_BUDDIFF" localSheetId="5">FALSE</definedName>
    <definedName name="QBREPORTCOMPARECOL_BUDGET" localSheetId="5">FALSE</definedName>
    <definedName name="QBREPORTCOMPARECOL_BUDPCT" localSheetId="5">FALSE</definedName>
    <definedName name="QBREPORTCOMPARECOL_COGS" localSheetId="5">FALSE</definedName>
    <definedName name="QBREPORTCOMPARECOL_EXCLUDEAMOUNT" localSheetId="5">FALSE</definedName>
    <definedName name="QBREPORTCOMPARECOL_EXCLUDECURPERIOD" localSheetId="5">FALSE</definedName>
    <definedName name="QBREPORTCOMPARECOL_FORECAST" localSheetId="5">FALSE</definedName>
    <definedName name="QBREPORTCOMPARECOL_GROSSMARGIN" localSheetId="5">FALSE</definedName>
    <definedName name="QBREPORTCOMPARECOL_GROSSMARGINPCT" localSheetId="5">FALSE</definedName>
    <definedName name="QBREPORTCOMPARECOL_HOURS" localSheetId="5">FALSE</definedName>
    <definedName name="QBREPORTCOMPARECOL_PCTCOL" localSheetId="5">FALSE</definedName>
    <definedName name="QBREPORTCOMPARECOL_PCTEXPENSE" localSheetId="5">FALSE</definedName>
    <definedName name="QBREPORTCOMPARECOL_PCTINCOME" localSheetId="5">FALSE</definedName>
    <definedName name="QBREPORTCOMPARECOL_PCTOFSALES" localSheetId="5">FALSE</definedName>
    <definedName name="QBREPORTCOMPARECOL_PCTROW" localSheetId="5">FALSE</definedName>
    <definedName name="QBREPORTCOMPARECOL_PPDIFF" localSheetId="5">FALSE</definedName>
    <definedName name="QBREPORTCOMPARECOL_PPPCT" localSheetId="5">FALSE</definedName>
    <definedName name="QBREPORTCOMPARECOL_PREVPERIOD" localSheetId="5">FALSE</definedName>
    <definedName name="QBREPORTCOMPARECOL_PREVYEAR" localSheetId="5">FALSE</definedName>
    <definedName name="QBREPORTCOMPARECOL_PYDIFF" localSheetId="5">FALSE</definedName>
    <definedName name="QBREPORTCOMPARECOL_PYPCT" localSheetId="5">FALSE</definedName>
    <definedName name="QBREPORTCOMPARECOL_QTY" localSheetId="5">FALSE</definedName>
    <definedName name="QBREPORTCOMPARECOL_RATE" localSheetId="5">FALSE</definedName>
    <definedName name="QBREPORTCOMPARECOL_TRIPBILLEDMILES" localSheetId="5">FALSE</definedName>
    <definedName name="QBREPORTCOMPARECOL_TRIPBILLINGAMOUNT" localSheetId="5">FALSE</definedName>
    <definedName name="QBREPORTCOMPARECOL_TRIPMILES" localSheetId="5">FALSE</definedName>
    <definedName name="QBREPORTCOMPARECOL_TRIPNOTBILLABLEMILES" localSheetId="5">FALSE</definedName>
    <definedName name="QBREPORTCOMPARECOL_TRIPTAXDEDUCTIBLEAMOUNT" localSheetId="5">FALSE</definedName>
    <definedName name="QBREPORTCOMPARECOL_TRIPUNBILLEDMILES" localSheetId="5">FALSE</definedName>
    <definedName name="QBREPORTCOMPARECOL_YTD" localSheetId="5">FALSE</definedName>
    <definedName name="QBREPORTCOMPARECOL_YTDBUDGET" localSheetId="5">FALSE</definedName>
    <definedName name="QBREPORTCOMPARECOL_YTDPCT" localSheetId="5">FALSE</definedName>
    <definedName name="QBREPORTROWAXIS" localSheetId="5">37</definedName>
    <definedName name="QBREPORTSUBCOLAXIS" localSheetId="5">0</definedName>
    <definedName name="QBREPORTTYPE" localSheetId="5">16</definedName>
    <definedName name="QBROWHEADERS" localSheetId="5">1</definedName>
    <definedName name="QBSTARTDATE" localSheetId="5">20150807</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 i="4" l="1"/>
  <c r="H1" i="4"/>
  <c r="I1" i="4"/>
  <c r="J1" i="4"/>
  <c r="K1" i="4"/>
  <c r="L1" i="4"/>
  <c r="L2"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K2" i="4"/>
  <c r="K3" i="4"/>
  <c r="K4" i="4"/>
  <c r="K5" i="4"/>
  <c r="K6" i="4"/>
  <c r="K7" i="4"/>
  <c r="K8" i="4"/>
  <c r="K9" i="4"/>
  <c r="K10" i="4"/>
  <c r="K11" i="4"/>
  <c r="K12" i="4"/>
  <c r="K13" i="4"/>
  <c r="K14" i="4"/>
  <c r="K15" i="4"/>
  <c r="K16" i="4"/>
  <c r="K17" i="4"/>
  <c r="K18" i="4"/>
  <c r="K19" i="4"/>
  <c r="K20" i="4"/>
  <c r="K21" i="4"/>
  <c r="K22" i="4"/>
  <c r="K23" i="4"/>
  <c r="K24" i="4"/>
  <c r="K25" i="4"/>
  <c r="K26" i="4"/>
  <c r="K27" i="4"/>
  <c r="K28" i="4"/>
  <c r="K29" i="4"/>
  <c r="K30" i="4"/>
  <c r="K31" i="4"/>
  <c r="J2" i="4"/>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I2"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H2" i="4"/>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G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F2"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E30" i="8"/>
  <c r="Z32" i="8"/>
  <c r="Y30" i="8"/>
  <c r="Y31" i="8"/>
  <c r="Y32" i="8"/>
  <c r="X32" i="8"/>
  <c r="W32" i="8"/>
  <c r="V30" i="8"/>
  <c r="V31" i="8"/>
  <c r="V32" i="8"/>
  <c r="U32" i="8"/>
  <c r="T30" i="8"/>
  <c r="T31" i="8"/>
  <c r="T32" i="8"/>
  <c r="S32" i="8"/>
  <c r="R30" i="8"/>
  <c r="R31" i="8"/>
  <c r="R32" i="8"/>
  <c r="Q32" i="8"/>
  <c r="P30" i="8"/>
  <c r="P31" i="8"/>
  <c r="P32" i="8"/>
  <c r="O32" i="8"/>
  <c r="N30" i="8"/>
  <c r="N31" i="8"/>
  <c r="N32" i="8"/>
  <c r="M32" i="8"/>
  <c r="L32" i="8"/>
  <c r="K30" i="8"/>
  <c r="K31" i="8"/>
  <c r="K32" i="8"/>
  <c r="J32" i="8"/>
  <c r="I30" i="8"/>
  <c r="I31" i="8"/>
  <c r="I32" i="8"/>
  <c r="H32" i="8"/>
  <c r="G30" i="8"/>
  <c r="G31" i="8"/>
  <c r="G32" i="8"/>
  <c r="F32" i="8"/>
  <c r="E31" i="8"/>
  <c r="E32" i="8"/>
  <c r="Z27" i="8"/>
  <c r="Y27" i="8"/>
  <c r="X27" i="8"/>
  <c r="W16" i="8"/>
  <c r="W27" i="8"/>
  <c r="V27" i="8"/>
  <c r="U27" i="8"/>
  <c r="T27" i="8"/>
  <c r="S27" i="8"/>
  <c r="R16" i="8"/>
  <c r="R27" i="8"/>
  <c r="Q27" i="8"/>
  <c r="P27" i="8"/>
  <c r="O27" i="8"/>
  <c r="N17" i="8"/>
  <c r="N27" i="8"/>
  <c r="M16" i="8"/>
  <c r="M27" i="8"/>
  <c r="L27" i="8"/>
  <c r="K27" i="8"/>
  <c r="J27" i="8"/>
  <c r="I27" i="8"/>
  <c r="H27" i="8"/>
  <c r="G27" i="8"/>
  <c r="F27" i="8"/>
  <c r="E69" i="8"/>
  <c r="F69" i="8"/>
  <c r="G69" i="8"/>
  <c r="H69" i="8"/>
  <c r="I69" i="8"/>
  <c r="J69" i="8"/>
  <c r="K69" i="8"/>
  <c r="L69" i="8"/>
  <c r="M69" i="8"/>
  <c r="N69" i="8"/>
  <c r="O69" i="8"/>
  <c r="P69" i="8"/>
  <c r="Q69" i="8"/>
  <c r="R69" i="8"/>
  <c r="S69" i="8"/>
  <c r="T69" i="8"/>
  <c r="U69" i="8"/>
  <c r="V69" i="8"/>
  <c r="W69" i="8"/>
  <c r="X69" i="8"/>
  <c r="Y69" i="8"/>
  <c r="Z69" i="8"/>
  <c r="C5" i="8"/>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L7" i="9"/>
  <c r="M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X5" i="9"/>
  <c r="AW7"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L9" i="9"/>
  <c r="M9" i="9"/>
  <c r="N9" i="9"/>
  <c r="O9" i="9"/>
  <c r="P9" i="9"/>
  <c r="Q9" i="9"/>
  <c r="R9" i="9"/>
  <c r="S9" i="9"/>
  <c r="T9" i="9"/>
  <c r="U9" i="9"/>
  <c r="V9" i="9"/>
  <c r="W9" i="9"/>
  <c r="X9" i="9"/>
  <c r="Y9" i="9"/>
  <c r="Z9" i="9"/>
  <c r="AA9" i="9"/>
  <c r="AB9" i="9"/>
  <c r="AC9" i="9"/>
  <c r="AD9" i="9"/>
  <c r="AE9" i="9"/>
  <c r="AF9" i="9"/>
  <c r="AG9" i="9"/>
  <c r="AH9" i="9"/>
  <c r="AI9" i="9"/>
  <c r="AJ9" i="9"/>
  <c r="AK9" i="9"/>
  <c r="AL9" i="9"/>
  <c r="AM9" i="9"/>
  <c r="AN9" i="9"/>
  <c r="AO9" i="9"/>
  <c r="AP9" i="9"/>
  <c r="AQ9" i="9"/>
  <c r="AR9" i="9"/>
  <c r="AS9" i="9"/>
  <c r="AT9" i="9"/>
  <c r="AU9" i="9"/>
  <c r="AV9" i="9"/>
  <c r="AW9" i="9"/>
  <c r="L10" i="9"/>
  <c r="M10" i="9"/>
  <c r="N10" i="9"/>
  <c r="O10" i="9"/>
  <c r="P10" i="9"/>
  <c r="Q10" i="9"/>
  <c r="R10" i="9"/>
  <c r="S10" i="9"/>
  <c r="T10" i="9"/>
  <c r="U10" i="9"/>
  <c r="V10" i="9"/>
  <c r="W10" i="9"/>
  <c r="X10" i="9"/>
  <c r="Y10" i="9"/>
  <c r="Z10" i="9"/>
  <c r="AA10" i="9"/>
  <c r="AB10" i="9"/>
  <c r="AC10" i="9"/>
  <c r="AD10" i="9"/>
  <c r="AE10" i="9"/>
  <c r="AF10" i="9"/>
  <c r="AG10" i="9"/>
  <c r="AH10" i="9"/>
  <c r="AI10" i="9"/>
  <c r="AJ10" i="9"/>
  <c r="AK10" i="9"/>
  <c r="AL10" i="9"/>
  <c r="AM10" i="9"/>
  <c r="AN10" i="9"/>
  <c r="AO10" i="9"/>
  <c r="AP10" i="9"/>
  <c r="AQ10" i="9"/>
  <c r="AR10" i="9"/>
  <c r="AS10" i="9"/>
  <c r="AT10" i="9"/>
  <c r="AU10" i="9"/>
  <c r="AV10" i="9"/>
  <c r="AW10" i="9"/>
  <c r="L11" i="9"/>
  <c r="M11" i="9"/>
  <c r="N11" i="9"/>
  <c r="O11" i="9"/>
  <c r="P11" i="9"/>
  <c r="Q11" i="9"/>
  <c r="R11" i="9"/>
  <c r="S11" i="9"/>
  <c r="T11" i="9"/>
  <c r="U11" i="9"/>
  <c r="V11" i="9"/>
  <c r="W11" i="9"/>
  <c r="X11" i="9"/>
  <c r="Y11" i="9"/>
  <c r="Z11" i="9"/>
  <c r="AA11" i="9"/>
  <c r="AB11" i="9"/>
  <c r="AC11" i="9"/>
  <c r="AD11" i="9"/>
  <c r="AE11" i="9"/>
  <c r="AF11" i="9"/>
  <c r="AG11" i="9"/>
  <c r="AH11" i="9"/>
  <c r="AI11" i="9"/>
  <c r="AJ11" i="9"/>
  <c r="AK11" i="9"/>
  <c r="AL11" i="9"/>
  <c r="AM11" i="9"/>
  <c r="AN11" i="9"/>
  <c r="AO11" i="9"/>
  <c r="AP11" i="9"/>
  <c r="AQ11" i="9"/>
  <c r="AR11" i="9"/>
  <c r="AS11" i="9"/>
  <c r="AT11" i="9"/>
  <c r="AU11" i="9"/>
  <c r="AV11" i="9"/>
  <c r="AW11" i="9"/>
  <c r="L12" i="9"/>
  <c r="M12" i="9"/>
  <c r="N12" i="9"/>
  <c r="O12" i="9"/>
  <c r="P12" i="9"/>
  <c r="Q12" i="9"/>
  <c r="R12" i="9"/>
  <c r="S12" i="9"/>
  <c r="T12" i="9"/>
  <c r="U12" i="9"/>
  <c r="V12" i="9"/>
  <c r="W12" i="9"/>
  <c r="X12" i="9"/>
  <c r="Y12" i="9"/>
  <c r="Z12" i="9"/>
  <c r="AA12" i="9"/>
  <c r="AB12" i="9"/>
  <c r="AC12" i="9"/>
  <c r="AD12" i="9"/>
  <c r="AE12" i="9"/>
  <c r="AF12" i="9"/>
  <c r="AG12" i="9"/>
  <c r="AH12" i="9"/>
  <c r="AI12" i="9"/>
  <c r="AJ12" i="9"/>
  <c r="AK12" i="9"/>
  <c r="AL12" i="9"/>
  <c r="AM12" i="9"/>
  <c r="AN12" i="9"/>
  <c r="AO12" i="9"/>
  <c r="AP12" i="9"/>
  <c r="AQ12" i="9"/>
  <c r="AR12" i="9"/>
  <c r="AS12" i="9"/>
  <c r="AT12" i="9"/>
  <c r="AU12" i="9"/>
  <c r="AV12" i="9"/>
  <c r="AW12"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L14" i="9"/>
  <c r="M14" i="9"/>
  <c r="N14" i="9"/>
  <c r="O14" i="9"/>
  <c r="P14" i="9"/>
  <c r="Q14" i="9"/>
  <c r="R14" i="9"/>
  <c r="S14" i="9"/>
  <c r="T14" i="9"/>
  <c r="U14" i="9"/>
  <c r="V14" i="9"/>
  <c r="W14" i="9"/>
  <c r="X14" i="9"/>
  <c r="Y14" i="9"/>
  <c r="Z14" i="9"/>
  <c r="AA14" i="9"/>
  <c r="AB14" i="9"/>
  <c r="AC14" i="9"/>
  <c r="AD14" i="9"/>
  <c r="AE14" i="9"/>
  <c r="AF14" i="9"/>
  <c r="AG14" i="9"/>
  <c r="AH14" i="9"/>
  <c r="AI14" i="9"/>
  <c r="AJ14" i="9"/>
  <c r="AK14" i="9"/>
  <c r="AL14" i="9"/>
  <c r="AM14" i="9"/>
  <c r="AN14" i="9"/>
  <c r="AO14" i="9"/>
  <c r="AP14" i="9"/>
  <c r="AQ14" i="9"/>
  <c r="AR14" i="9"/>
  <c r="AS14" i="9"/>
  <c r="AT14" i="9"/>
  <c r="AU14" i="9"/>
  <c r="AV14" i="9"/>
  <c r="AW14"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L20" i="9"/>
  <c r="M20" i="9"/>
  <c r="N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L24" i="9"/>
  <c r="M24" i="9"/>
  <c r="N24" i="9"/>
  <c r="O24" i="9"/>
  <c r="P24" i="9"/>
  <c r="Q24" i="9"/>
  <c r="R24" i="9"/>
  <c r="S24" i="9"/>
  <c r="T24" i="9"/>
  <c r="U24" i="9"/>
  <c r="V24" i="9"/>
  <c r="W24" i="9"/>
  <c r="X24" i="9"/>
  <c r="Y24" i="9"/>
  <c r="Z24" i="9"/>
  <c r="AA24" i="9"/>
  <c r="AB24" i="9"/>
  <c r="AC24" i="9"/>
  <c r="AD24" i="9"/>
  <c r="AE24" i="9"/>
  <c r="AF24" i="9"/>
  <c r="AG24" i="9"/>
  <c r="AH24" i="9"/>
  <c r="AI24" i="9"/>
  <c r="AJ24" i="9"/>
  <c r="AK24" i="9"/>
  <c r="AL24" i="9"/>
  <c r="AM24" i="9"/>
  <c r="AN24" i="9"/>
  <c r="AO24" i="9"/>
  <c r="AP24" i="9"/>
  <c r="AQ24" i="9"/>
  <c r="AR24" i="9"/>
  <c r="AS24" i="9"/>
  <c r="AT24" i="9"/>
  <c r="AU24" i="9"/>
  <c r="AV24" i="9"/>
  <c r="AW24" i="9"/>
  <c r="L25" i="9"/>
  <c r="M25" i="9"/>
  <c r="N25" i="9"/>
  <c r="O25" i="9"/>
  <c r="P25" i="9"/>
  <c r="Q25" i="9"/>
  <c r="R25" i="9"/>
  <c r="S25" i="9"/>
  <c r="T25" i="9"/>
  <c r="U25" i="9"/>
  <c r="V25" i="9"/>
  <c r="W25" i="9"/>
  <c r="X25" i="9"/>
  <c r="Y25" i="9"/>
  <c r="Z25" i="9"/>
  <c r="AA25" i="9"/>
  <c r="AB25" i="9"/>
  <c r="AC25" i="9"/>
  <c r="AD25" i="9"/>
  <c r="AE25" i="9"/>
  <c r="AF25" i="9"/>
  <c r="AG25" i="9"/>
  <c r="AH25" i="9"/>
  <c r="AI25" i="9"/>
  <c r="AJ25" i="9"/>
  <c r="AK25" i="9"/>
  <c r="AL25" i="9"/>
  <c r="AM25" i="9"/>
  <c r="AN25" i="9"/>
  <c r="AO25" i="9"/>
  <c r="AP25" i="9"/>
  <c r="AQ25" i="9"/>
  <c r="AR25" i="9"/>
  <c r="AS25" i="9"/>
  <c r="AT25" i="9"/>
  <c r="AU25" i="9"/>
  <c r="AV25" i="9"/>
  <c r="AW25" i="9"/>
  <c r="L26" i="9"/>
  <c r="M26" i="9"/>
  <c r="N26" i="9"/>
  <c r="O26" i="9"/>
  <c r="P26" i="9"/>
  <c r="Q26" i="9"/>
  <c r="R26" i="9"/>
  <c r="S26" i="9"/>
  <c r="T26" i="9"/>
  <c r="U26" i="9"/>
  <c r="V26" i="9"/>
  <c r="W26" i="9"/>
  <c r="X26" i="9"/>
  <c r="Y26" i="9"/>
  <c r="Z26" i="9"/>
  <c r="AA26" i="9"/>
  <c r="AB26" i="9"/>
  <c r="AC26" i="9"/>
  <c r="AD26" i="9"/>
  <c r="AE26" i="9"/>
  <c r="AF26" i="9"/>
  <c r="AG26" i="9"/>
  <c r="AH26" i="9"/>
  <c r="AI26" i="9"/>
  <c r="AJ26" i="9"/>
  <c r="AK26" i="9"/>
  <c r="AL26" i="9"/>
  <c r="AM26" i="9"/>
  <c r="AN26" i="9"/>
  <c r="AO26" i="9"/>
  <c r="AP26" i="9"/>
  <c r="AQ26" i="9"/>
  <c r="AR26" i="9"/>
  <c r="AS26" i="9"/>
  <c r="AT26" i="9"/>
  <c r="AU26" i="9"/>
  <c r="AV26" i="9"/>
  <c r="AW26" i="9"/>
  <c r="L27" i="9"/>
  <c r="M27" i="9"/>
  <c r="N27" i="9"/>
  <c r="O27" i="9"/>
  <c r="P27" i="9"/>
  <c r="Q27" i="9"/>
  <c r="R27" i="9"/>
  <c r="S27" i="9"/>
  <c r="T27" i="9"/>
  <c r="U27" i="9"/>
  <c r="V27" i="9"/>
  <c r="W27" i="9"/>
  <c r="X27" i="9"/>
  <c r="Y27" i="9"/>
  <c r="Z27" i="9"/>
  <c r="AA27" i="9"/>
  <c r="AB27" i="9"/>
  <c r="AC27" i="9"/>
  <c r="AD27" i="9"/>
  <c r="AE27" i="9"/>
  <c r="AF27" i="9"/>
  <c r="AG27" i="9"/>
  <c r="AH27" i="9"/>
  <c r="AI27" i="9"/>
  <c r="AJ27" i="9"/>
  <c r="AK27" i="9"/>
  <c r="AL27" i="9"/>
  <c r="AM27" i="9"/>
  <c r="AN27" i="9"/>
  <c r="AO27" i="9"/>
  <c r="AP27" i="9"/>
  <c r="AQ27" i="9"/>
  <c r="AR27" i="9"/>
  <c r="AS27" i="9"/>
  <c r="AT27" i="9"/>
  <c r="AU27" i="9"/>
  <c r="AV27" i="9"/>
  <c r="AW27" i="9"/>
  <c r="L28" i="9"/>
  <c r="M28" i="9"/>
  <c r="N28" i="9"/>
  <c r="O28" i="9"/>
  <c r="P28" i="9"/>
  <c r="Q28" i="9"/>
  <c r="R28" i="9"/>
  <c r="S28" i="9"/>
  <c r="T28" i="9"/>
  <c r="U28" i="9"/>
  <c r="V28" i="9"/>
  <c r="W28" i="9"/>
  <c r="X28" i="9"/>
  <c r="Y28" i="9"/>
  <c r="Z28" i="9"/>
  <c r="AA28" i="9"/>
  <c r="AB28" i="9"/>
  <c r="AC28" i="9"/>
  <c r="AD28" i="9"/>
  <c r="AE28" i="9"/>
  <c r="AF28" i="9"/>
  <c r="AG28" i="9"/>
  <c r="AH28" i="9"/>
  <c r="AI28" i="9"/>
  <c r="AJ28" i="9"/>
  <c r="AK28" i="9"/>
  <c r="AL28" i="9"/>
  <c r="AM28" i="9"/>
  <c r="AN28" i="9"/>
  <c r="AO28" i="9"/>
  <c r="AP28" i="9"/>
  <c r="AQ28" i="9"/>
  <c r="AR28" i="9"/>
  <c r="AS28" i="9"/>
  <c r="AT28" i="9"/>
  <c r="AU28" i="9"/>
  <c r="AV28" i="9"/>
  <c r="AW28"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E35" i="8"/>
  <c r="E39" i="8"/>
  <c r="C6" i="8"/>
  <c r="E6" i="8"/>
  <c r="E27" i="8"/>
  <c r="D27" i="15"/>
  <c r="D28" i="15"/>
  <c r="D29" i="15"/>
  <c r="D30" i="15"/>
  <c r="D31" i="15"/>
  <c r="E62" i="8"/>
  <c r="E63" i="8"/>
  <c r="E71" i="8"/>
  <c r="F6" i="8"/>
  <c r="F8" i="8"/>
  <c r="F35" i="8"/>
  <c r="F39" i="8"/>
  <c r="F62" i="8"/>
  <c r="F63" i="8"/>
  <c r="F71" i="8"/>
  <c r="G6" i="8"/>
  <c r="G8" i="8"/>
  <c r="G35" i="8"/>
  <c r="G39" i="8"/>
  <c r="G62" i="8"/>
  <c r="G63" i="8"/>
  <c r="G71" i="8"/>
  <c r="H6" i="8"/>
  <c r="H8" i="8"/>
  <c r="H35" i="8"/>
  <c r="H39" i="8"/>
  <c r="E27" i="15"/>
  <c r="E28" i="15"/>
  <c r="E29" i="15"/>
  <c r="E30" i="15"/>
  <c r="E31" i="15"/>
  <c r="H62" i="8"/>
  <c r="H63" i="8"/>
  <c r="H71" i="8"/>
  <c r="I6" i="8"/>
  <c r="I8" i="8"/>
  <c r="I35" i="8"/>
  <c r="I39" i="8"/>
  <c r="I62" i="8"/>
  <c r="I63" i="8"/>
  <c r="I71" i="8"/>
  <c r="J6" i="8"/>
  <c r="J8" i="8"/>
  <c r="J35" i="8"/>
  <c r="J39" i="8"/>
  <c r="J62" i="8"/>
  <c r="J63" i="8"/>
  <c r="J71" i="8"/>
  <c r="K6" i="8"/>
  <c r="K8" i="8"/>
  <c r="K35" i="8"/>
  <c r="K39" i="8"/>
  <c r="K62" i="8"/>
  <c r="K63" i="8"/>
  <c r="K65" i="8"/>
  <c r="K71" i="8"/>
  <c r="L6" i="8"/>
  <c r="L8" i="8"/>
  <c r="L35" i="8"/>
  <c r="L39" i="8"/>
  <c r="F27" i="15"/>
  <c r="F28" i="15"/>
  <c r="F29" i="15"/>
  <c r="F30" i="15"/>
  <c r="F31" i="15"/>
  <c r="L62" i="8"/>
  <c r="L63" i="8"/>
  <c r="L71" i="8"/>
  <c r="M6" i="8"/>
  <c r="M8" i="8"/>
  <c r="M35" i="8"/>
  <c r="M39" i="8"/>
  <c r="M62" i="8"/>
  <c r="M63" i="8"/>
  <c r="M71" i="8"/>
  <c r="N6" i="8"/>
  <c r="N8" i="8"/>
  <c r="N35" i="8"/>
  <c r="N39" i="8"/>
  <c r="N62" i="8"/>
  <c r="N63" i="8"/>
  <c r="N71" i="8"/>
  <c r="O6" i="8"/>
  <c r="O8" i="8"/>
  <c r="O35" i="8"/>
  <c r="O39" i="8"/>
  <c r="O62" i="8"/>
  <c r="O63" i="8"/>
  <c r="O71" i="8"/>
  <c r="P6" i="8"/>
  <c r="P8" i="8"/>
  <c r="P35" i="8"/>
  <c r="P39" i="8"/>
  <c r="G27" i="15"/>
  <c r="G28" i="15"/>
  <c r="G29" i="15"/>
  <c r="G30" i="15"/>
  <c r="G31" i="15"/>
  <c r="P62" i="8"/>
  <c r="P63" i="8"/>
  <c r="P71" i="8"/>
  <c r="Q6" i="8"/>
  <c r="Q8" i="8"/>
  <c r="Q35" i="8"/>
  <c r="Q39" i="8"/>
  <c r="Q62" i="8"/>
  <c r="Q63" i="8"/>
  <c r="Q71" i="8"/>
  <c r="R6" i="8"/>
  <c r="R8" i="8"/>
  <c r="R35" i="8"/>
  <c r="R39" i="8"/>
  <c r="R62" i="8"/>
  <c r="R63" i="8"/>
  <c r="R71" i="8"/>
  <c r="S6" i="8"/>
  <c r="S8" i="8"/>
  <c r="S35" i="8"/>
  <c r="S39" i="8"/>
  <c r="S62" i="8"/>
  <c r="S63" i="8"/>
  <c r="S71" i="8"/>
  <c r="T6" i="8"/>
  <c r="T8" i="8"/>
  <c r="T35" i="8"/>
  <c r="T39" i="8"/>
  <c r="T62" i="8"/>
  <c r="T63" i="8"/>
  <c r="T71" i="8"/>
  <c r="U6" i="8"/>
  <c r="U8" i="8"/>
  <c r="U35" i="8"/>
  <c r="U39" i="8"/>
  <c r="H27" i="15"/>
  <c r="H28" i="15"/>
  <c r="H29" i="15"/>
  <c r="H30" i="15"/>
  <c r="H31" i="15"/>
  <c r="U62" i="8"/>
  <c r="U63" i="8"/>
  <c r="U71" i="8"/>
  <c r="V6" i="8"/>
  <c r="V8" i="8"/>
  <c r="V35" i="8"/>
  <c r="V39" i="8"/>
  <c r="V62" i="8"/>
  <c r="V63" i="8"/>
  <c r="V66" i="8"/>
  <c r="V71" i="8"/>
  <c r="W6" i="8"/>
  <c r="W8" i="8"/>
  <c r="W35" i="8"/>
  <c r="W39" i="8"/>
  <c r="W62" i="8"/>
  <c r="W63" i="8"/>
  <c r="W71" i="8"/>
  <c r="X6" i="8"/>
  <c r="X8" i="8"/>
  <c r="X35" i="8"/>
  <c r="X39" i="8"/>
  <c r="X62" i="8"/>
  <c r="X63" i="8"/>
  <c r="X71" i="8"/>
  <c r="Y6" i="8"/>
  <c r="Y8" i="8"/>
  <c r="Y35" i="8"/>
  <c r="Y39" i="8"/>
  <c r="I27" i="15"/>
  <c r="I28" i="15"/>
  <c r="I29" i="15"/>
  <c r="I30" i="15"/>
  <c r="I31" i="15"/>
  <c r="Y62" i="8"/>
  <c r="Y63" i="8"/>
  <c r="Y71" i="8"/>
  <c r="Z6" i="8"/>
  <c r="Z8" i="8"/>
  <c r="Z35" i="8"/>
  <c r="Z39" i="8"/>
  <c r="Z62" i="8"/>
  <c r="Z63" i="8"/>
  <c r="Z71" i="8"/>
  <c r="G2" i="15"/>
  <c r="H2" i="15"/>
  <c r="I2" i="15"/>
  <c r="J2" i="15"/>
  <c r="K2" i="15"/>
  <c r="L2" i="15"/>
  <c r="M2" i="15"/>
  <c r="N2" i="15"/>
  <c r="J27" i="15"/>
  <c r="K27" i="15"/>
  <c r="L27" i="15"/>
  <c r="M27" i="15"/>
  <c r="N27" i="15"/>
  <c r="J28" i="15"/>
  <c r="K28" i="15"/>
  <c r="L28" i="15"/>
  <c r="M28" i="15"/>
  <c r="N28" i="15"/>
  <c r="J29" i="15"/>
  <c r="K29" i="15"/>
  <c r="L29" i="15"/>
  <c r="M29" i="15"/>
  <c r="N29" i="15"/>
  <c r="J30" i="15"/>
  <c r="K30" i="15"/>
  <c r="L30" i="15"/>
  <c r="M30" i="15"/>
  <c r="N30" i="15"/>
  <c r="J31" i="15"/>
  <c r="K31" i="15"/>
  <c r="L31" i="15"/>
  <c r="M31" i="15"/>
  <c r="N31" i="15"/>
  <c r="O72" i="17"/>
  <c r="M72" i="17"/>
  <c r="K72" i="17"/>
  <c r="H72" i="17"/>
  <c r="F72" i="17"/>
  <c r="N72" i="17"/>
  <c r="L72" i="17"/>
  <c r="J72" i="17"/>
  <c r="I72" i="17"/>
  <c r="G72" i="17"/>
  <c r="E72" i="17"/>
  <c r="D72" i="17"/>
  <c r="C72" i="17"/>
  <c r="B72" i="17"/>
  <c r="B67" i="1"/>
  <c r="B74" i="1"/>
  <c r="B74" i="17"/>
  <c r="C67" i="1"/>
  <c r="C74" i="1"/>
  <c r="C74" i="17"/>
  <c r="D67" i="1"/>
  <c r="D74" i="1"/>
  <c r="D74" i="17"/>
  <c r="E67" i="1"/>
  <c r="E74" i="1"/>
  <c r="E74" i="17"/>
  <c r="F67" i="1"/>
  <c r="F74" i="1"/>
  <c r="F74" i="17"/>
  <c r="G67" i="1"/>
  <c r="G74" i="1"/>
  <c r="G74" i="17"/>
  <c r="H67" i="1"/>
  <c r="H74" i="1"/>
  <c r="H74" i="17"/>
  <c r="I67" i="1"/>
  <c r="I74" i="1"/>
  <c r="I74" i="17"/>
  <c r="J67" i="1"/>
  <c r="J74" i="1"/>
  <c r="J74" i="17"/>
  <c r="K67" i="1"/>
  <c r="K74" i="1"/>
  <c r="K74" i="17"/>
  <c r="L67" i="1"/>
  <c r="L74" i="1"/>
  <c r="L74" i="17"/>
  <c r="M67" i="1"/>
  <c r="M74" i="1"/>
  <c r="M74" i="17"/>
  <c r="N67" i="1"/>
  <c r="N74" i="1"/>
  <c r="N74" i="17"/>
  <c r="O67" i="1"/>
  <c r="O74" i="1"/>
  <c r="O74" i="17"/>
  <c r="L41" i="1"/>
  <c r="L41" i="17"/>
  <c r="H41" i="1"/>
  <c r="H41" i="17"/>
  <c r="O43" i="17"/>
  <c r="O59" i="17"/>
  <c r="O31" i="17"/>
  <c r="O34" i="17"/>
  <c r="O35" i="17"/>
  <c r="O36" i="17"/>
  <c r="O61" i="17"/>
  <c r="O65" i="17"/>
  <c r="O66" i="17"/>
  <c r="O76" i="17"/>
  <c r="N43" i="17"/>
  <c r="N59" i="17"/>
  <c r="N31" i="17"/>
  <c r="N34" i="17"/>
  <c r="N35" i="17"/>
  <c r="N36" i="17"/>
  <c r="N61" i="17"/>
  <c r="N65" i="17"/>
  <c r="N66" i="17"/>
  <c r="N76" i="17"/>
  <c r="M43" i="17"/>
  <c r="M59" i="17"/>
  <c r="M31" i="17"/>
  <c r="M34" i="17"/>
  <c r="M35" i="17"/>
  <c r="M36" i="17"/>
  <c r="M61" i="17"/>
  <c r="M65" i="17"/>
  <c r="M66" i="17"/>
  <c r="M76" i="17"/>
  <c r="L43" i="17"/>
  <c r="L59" i="17"/>
  <c r="L31" i="17"/>
  <c r="L32" i="17"/>
  <c r="L34" i="17"/>
  <c r="L35" i="17"/>
  <c r="L36" i="17"/>
  <c r="L61" i="17"/>
  <c r="L65" i="17"/>
  <c r="L66" i="17"/>
  <c r="L76" i="17"/>
  <c r="K43" i="17"/>
  <c r="K59" i="17"/>
  <c r="K31" i="17"/>
  <c r="K32" i="17"/>
  <c r="K34" i="17"/>
  <c r="K35" i="17"/>
  <c r="K36" i="17"/>
  <c r="K61" i="17"/>
  <c r="K65" i="17"/>
  <c r="K66" i="17"/>
  <c r="K76" i="17"/>
  <c r="J43" i="17"/>
  <c r="J59" i="17"/>
  <c r="J31" i="17"/>
  <c r="J32" i="17"/>
  <c r="J34" i="17"/>
  <c r="J35" i="17"/>
  <c r="J36" i="17"/>
  <c r="J61" i="17"/>
  <c r="J65" i="17"/>
  <c r="J66" i="17"/>
  <c r="J76" i="17"/>
  <c r="I43" i="17"/>
  <c r="I59" i="17"/>
  <c r="I31" i="17"/>
  <c r="I34" i="17"/>
  <c r="I35" i="17"/>
  <c r="I36" i="17"/>
  <c r="I61" i="17"/>
  <c r="I65" i="17"/>
  <c r="I66" i="17"/>
  <c r="I76" i="17"/>
  <c r="H43" i="17"/>
  <c r="H59" i="17"/>
  <c r="H31" i="17"/>
  <c r="H32" i="17"/>
  <c r="H34" i="17"/>
  <c r="H35" i="17"/>
  <c r="H36" i="17"/>
  <c r="H61" i="17"/>
  <c r="H65" i="17"/>
  <c r="H66" i="17"/>
  <c r="H76" i="17"/>
  <c r="G43" i="17"/>
  <c r="G59" i="17"/>
  <c r="G31" i="17"/>
  <c r="G32" i="17"/>
  <c r="G34" i="17"/>
  <c r="G35" i="17"/>
  <c r="G36" i="17"/>
  <c r="G61" i="17"/>
  <c r="G65" i="17"/>
  <c r="G66" i="17"/>
  <c r="G76" i="17"/>
  <c r="F43" i="17"/>
  <c r="F59" i="17"/>
  <c r="F31" i="17"/>
  <c r="F32" i="17"/>
  <c r="F34" i="17"/>
  <c r="F35" i="17"/>
  <c r="F36" i="17"/>
  <c r="F61" i="17"/>
  <c r="F65" i="17"/>
  <c r="F66" i="17"/>
  <c r="F76" i="17"/>
  <c r="E43" i="17"/>
  <c r="E59" i="17"/>
  <c r="E31" i="17"/>
  <c r="E34" i="17"/>
  <c r="E35" i="17"/>
  <c r="E36" i="17"/>
  <c r="E61" i="17"/>
  <c r="E65" i="17"/>
  <c r="E66" i="17"/>
  <c r="E76" i="17"/>
  <c r="D40" i="1"/>
  <c r="D40" i="17"/>
  <c r="D41" i="1"/>
  <c r="D41" i="17"/>
  <c r="D43" i="17"/>
  <c r="D59" i="17"/>
  <c r="D31" i="17"/>
  <c r="D32" i="17"/>
  <c r="D34" i="17"/>
  <c r="D35" i="17"/>
  <c r="D36" i="17"/>
  <c r="D61" i="17"/>
  <c r="D65" i="17"/>
  <c r="D66" i="17"/>
  <c r="D76" i="17"/>
  <c r="C40" i="1"/>
  <c r="C40" i="17"/>
  <c r="C43" i="17"/>
  <c r="C59" i="17"/>
  <c r="C32" i="17"/>
  <c r="C34" i="17"/>
  <c r="C35" i="17"/>
  <c r="C36" i="17"/>
  <c r="C61" i="17"/>
  <c r="C65" i="17"/>
  <c r="C66" i="17"/>
  <c r="C76" i="17"/>
  <c r="B40" i="1"/>
  <c r="B40" i="17"/>
  <c r="B43" i="17"/>
  <c r="B59" i="17"/>
  <c r="B31" i="17"/>
  <c r="B32" i="17"/>
  <c r="B34" i="17"/>
  <c r="B35" i="17"/>
  <c r="B36" i="17"/>
  <c r="B61" i="17"/>
  <c r="B65" i="17"/>
  <c r="B66" i="17"/>
  <c r="B76" i="17"/>
  <c r="A74" i="17"/>
  <c r="A73" i="17"/>
  <c r="A72" i="17"/>
  <c r="A71" i="17"/>
  <c r="A70" i="17"/>
  <c r="A69" i="17"/>
  <c r="A68" i="17"/>
  <c r="A64" i="17"/>
  <c r="A63" i="17"/>
  <c r="A58" i="17"/>
  <c r="A57" i="17"/>
  <c r="A56" i="17"/>
  <c r="A55" i="17"/>
  <c r="A54" i="17"/>
  <c r="A53" i="17"/>
  <c r="A52" i="17"/>
  <c r="A51" i="17"/>
  <c r="A50" i="17"/>
  <c r="A49" i="17"/>
  <c r="A48" i="17"/>
  <c r="A47" i="17"/>
  <c r="A46" i="17"/>
  <c r="A45" i="17"/>
  <c r="A44" i="17"/>
  <c r="A42" i="17"/>
  <c r="A41" i="17"/>
  <c r="A40" i="17"/>
  <c r="A37" i="17"/>
  <c r="A38" i="17"/>
  <c r="O58" i="1"/>
  <c r="N58" i="1"/>
  <c r="M58" i="1"/>
  <c r="L58" i="1"/>
  <c r="K58" i="1"/>
  <c r="J58" i="1"/>
  <c r="I58" i="1"/>
  <c r="H58" i="1"/>
  <c r="G58" i="1"/>
  <c r="F58" i="1"/>
  <c r="E58" i="1"/>
  <c r="D58" i="1"/>
  <c r="C58" i="1"/>
  <c r="B58" i="1"/>
  <c r="O57" i="1"/>
  <c r="N57" i="1"/>
  <c r="M57" i="1"/>
  <c r="L57" i="1"/>
  <c r="K57" i="1"/>
  <c r="J57" i="1"/>
  <c r="I57" i="1"/>
  <c r="H57" i="1"/>
  <c r="G57" i="1"/>
  <c r="F57" i="1"/>
  <c r="E57" i="1"/>
  <c r="D57" i="1"/>
  <c r="C57" i="1"/>
  <c r="B57" i="1"/>
  <c r="O56" i="1"/>
  <c r="N56" i="1"/>
  <c r="M56" i="1"/>
  <c r="L56" i="1"/>
  <c r="K56" i="1"/>
  <c r="J56" i="1"/>
  <c r="I56" i="1"/>
  <c r="H56" i="1"/>
  <c r="G56" i="1"/>
  <c r="F56" i="1"/>
  <c r="E56" i="1"/>
  <c r="D56" i="1"/>
  <c r="C56" i="1"/>
  <c r="B56" i="1"/>
  <c r="O55" i="1"/>
  <c r="N55" i="1"/>
  <c r="M55" i="1"/>
  <c r="L55" i="1"/>
  <c r="K55" i="1"/>
  <c r="J55" i="1"/>
  <c r="I55" i="1"/>
  <c r="H55" i="1"/>
  <c r="G55" i="1"/>
  <c r="F55" i="1"/>
  <c r="E55" i="1"/>
  <c r="D55" i="1"/>
  <c r="C55" i="1"/>
  <c r="B55" i="1"/>
  <c r="O54" i="1"/>
  <c r="N54" i="1"/>
  <c r="M54" i="1"/>
  <c r="L54" i="1"/>
  <c r="K54" i="1"/>
  <c r="J54" i="1"/>
  <c r="I54" i="1"/>
  <c r="H54" i="1"/>
  <c r="G54" i="1"/>
  <c r="F54" i="1"/>
  <c r="E54" i="1"/>
  <c r="D54" i="1"/>
  <c r="C54" i="1"/>
  <c r="B54" i="1"/>
  <c r="O53" i="1"/>
  <c r="N53" i="1"/>
  <c r="M53" i="1"/>
  <c r="L53" i="1"/>
  <c r="K53" i="1"/>
  <c r="J53" i="1"/>
  <c r="I53" i="1"/>
  <c r="H53" i="1"/>
  <c r="G53" i="1"/>
  <c r="F53" i="1"/>
  <c r="E53" i="1"/>
  <c r="D53" i="1"/>
  <c r="C53" i="1"/>
  <c r="B53" i="1"/>
  <c r="N50" i="1"/>
  <c r="M50" i="1"/>
  <c r="L50" i="1"/>
  <c r="K50" i="1"/>
  <c r="J50" i="1"/>
  <c r="I50" i="1"/>
  <c r="H50" i="1"/>
  <c r="G50" i="1"/>
  <c r="F50" i="1"/>
  <c r="E50" i="1"/>
  <c r="D50" i="1"/>
  <c r="C50" i="1"/>
  <c r="B50" i="1"/>
  <c r="N49" i="1"/>
  <c r="M49" i="1"/>
  <c r="L49" i="1"/>
  <c r="K49" i="1"/>
  <c r="J49" i="1"/>
  <c r="I49" i="1"/>
  <c r="H49" i="1"/>
  <c r="G49" i="1"/>
  <c r="F49" i="1"/>
  <c r="E49" i="1"/>
  <c r="D49" i="1"/>
  <c r="C49" i="1"/>
  <c r="B49" i="1"/>
  <c r="N48" i="1"/>
  <c r="M48" i="1"/>
  <c r="L48" i="1"/>
  <c r="K48" i="1"/>
  <c r="J48" i="1"/>
  <c r="I48" i="1"/>
  <c r="H48" i="1"/>
  <c r="G48" i="1"/>
  <c r="F48" i="1"/>
  <c r="E48" i="1"/>
  <c r="D48" i="1"/>
  <c r="C48" i="1"/>
  <c r="B48" i="1"/>
  <c r="N47" i="1"/>
  <c r="M47" i="1"/>
  <c r="L47" i="1"/>
  <c r="K47" i="1"/>
  <c r="J47" i="1"/>
  <c r="I47" i="1"/>
  <c r="H47" i="1"/>
  <c r="G47" i="1"/>
  <c r="F47" i="1"/>
  <c r="E47" i="1"/>
  <c r="D47" i="1"/>
  <c r="C47" i="1"/>
  <c r="B47" i="1"/>
  <c r="N46" i="1"/>
  <c r="M46" i="1"/>
  <c r="L46" i="1"/>
  <c r="K46" i="1"/>
  <c r="J46" i="1"/>
  <c r="I46" i="1"/>
  <c r="H46" i="1"/>
  <c r="G46" i="1"/>
  <c r="F46" i="1"/>
  <c r="E46" i="1"/>
  <c r="D46" i="1"/>
  <c r="C46" i="1"/>
  <c r="B46" i="1"/>
  <c r="N45" i="1"/>
  <c r="M45" i="1"/>
  <c r="L45" i="1"/>
  <c r="K45" i="1"/>
  <c r="J45" i="1"/>
  <c r="I45" i="1"/>
  <c r="H45" i="1"/>
  <c r="G45" i="1"/>
  <c r="F45" i="1"/>
  <c r="E45" i="1"/>
  <c r="D45" i="1"/>
  <c r="C45" i="1"/>
  <c r="B45" i="1"/>
  <c r="N44" i="1"/>
  <c r="M44" i="1"/>
  <c r="L44" i="1"/>
  <c r="K44" i="1"/>
  <c r="J44" i="1"/>
  <c r="I44" i="1"/>
  <c r="H44" i="1"/>
  <c r="G44" i="1"/>
  <c r="F44" i="1"/>
  <c r="E44" i="1"/>
  <c r="D44" i="1"/>
  <c r="C44" i="1"/>
  <c r="B44" i="1"/>
  <c r="B51" i="1"/>
  <c r="C51" i="1"/>
  <c r="D51" i="1"/>
  <c r="E51" i="1"/>
  <c r="F51" i="1"/>
  <c r="G51" i="1"/>
  <c r="H51" i="1"/>
  <c r="I51" i="1"/>
  <c r="J51" i="1"/>
  <c r="K51" i="1"/>
  <c r="L51" i="1"/>
  <c r="M51" i="1"/>
  <c r="N51" i="1"/>
  <c r="O51" i="1"/>
  <c r="A2" i="17"/>
  <c r="O25" i="17"/>
  <c r="O26" i="17"/>
  <c r="O27" i="17"/>
  <c r="O28" i="17"/>
  <c r="O77" i="17"/>
  <c r="O81" i="17"/>
  <c r="O82" i="17"/>
  <c r="O83" i="17"/>
  <c r="N25" i="17"/>
  <c r="N26" i="17"/>
  <c r="N27" i="17"/>
  <c r="N28" i="17"/>
  <c r="N77" i="17"/>
  <c r="N81" i="17"/>
  <c r="N82" i="17"/>
  <c r="N83" i="17"/>
  <c r="M25" i="17"/>
  <c r="M26" i="17"/>
  <c r="M27" i="17"/>
  <c r="M28" i="17"/>
  <c r="M77" i="17"/>
  <c r="M81" i="17"/>
  <c r="M82" i="17"/>
  <c r="M83" i="17"/>
  <c r="L25" i="17"/>
  <c r="L26" i="17"/>
  <c r="L27" i="17"/>
  <c r="L28" i="17"/>
  <c r="L77" i="17"/>
  <c r="L81" i="17"/>
  <c r="L82" i="17"/>
  <c r="L83" i="17"/>
  <c r="K25" i="17"/>
  <c r="K26" i="17"/>
  <c r="K27" i="17"/>
  <c r="K28" i="17"/>
  <c r="K77" i="17"/>
  <c r="K81" i="17"/>
  <c r="K82" i="17"/>
  <c r="K83" i="17"/>
  <c r="J25" i="17"/>
  <c r="J26" i="17"/>
  <c r="J27" i="17"/>
  <c r="J28" i="17"/>
  <c r="J77" i="17"/>
  <c r="J81" i="17"/>
  <c r="J82" i="17"/>
  <c r="J83" i="17"/>
  <c r="I25" i="17"/>
  <c r="I26" i="17"/>
  <c r="I27" i="17"/>
  <c r="I28" i="17"/>
  <c r="I77" i="17"/>
  <c r="I81" i="17"/>
  <c r="I82" i="17"/>
  <c r="I83" i="17"/>
  <c r="H25" i="17"/>
  <c r="H26" i="17"/>
  <c r="H27" i="17"/>
  <c r="H28" i="17"/>
  <c r="H77" i="17"/>
  <c r="H81" i="17"/>
  <c r="H82" i="17"/>
  <c r="H83" i="17"/>
  <c r="G25" i="17"/>
  <c r="G26" i="17"/>
  <c r="G27" i="17"/>
  <c r="G28" i="17"/>
  <c r="G77" i="17"/>
  <c r="G81" i="17"/>
  <c r="G82" i="17"/>
  <c r="G83" i="17"/>
  <c r="F25" i="17"/>
  <c r="F26" i="17"/>
  <c r="F27" i="17"/>
  <c r="F28" i="17"/>
  <c r="F77" i="17"/>
  <c r="F81" i="17"/>
  <c r="F82" i="17"/>
  <c r="F83" i="17"/>
  <c r="E25" i="17"/>
  <c r="E26" i="17"/>
  <c r="E27" i="17"/>
  <c r="E28" i="17"/>
  <c r="E77" i="17"/>
  <c r="E81" i="17"/>
  <c r="E82" i="17"/>
  <c r="E83" i="17"/>
  <c r="D25" i="17"/>
  <c r="D26" i="17"/>
  <c r="D27" i="17"/>
  <c r="D28" i="17"/>
  <c r="D77" i="17"/>
  <c r="D81" i="17"/>
  <c r="D82" i="17"/>
  <c r="D83" i="17"/>
  <c r="C25" i="17"/>
  <c r="C26" i="17"/>
  <c r="C27" i="17"/>
  <c r="C28" i="17"/>
  <c r="C77" i="17"/>
  <c r="C81" i="17"/>
  <c r="C82" i="17"/>
  <c r="C83" i="17"/>
  <c r="B25" i="17"/>
  <c r="B26" i="17"/>
  <c r="B27" i="17"/>
  <c r="B28" i="17"/>
  <c r="B77" i="17"/>
  <c r="B81" i="17"/>
  <c r="B82" i="17"/>
  <c r="B83" i="17"/>
  <c r="B61" i="8"/>
  <c r="B60" i="8"/>
  <c r="B59" i="8"/>
  <c r="B46" i="8"/>
  <c r="B58" i="8"/>
  <c r="B57" i="8"/>
  <c r="B56" i="8"/>
  <c r="B55" i="8"/>
  <c r="B54" i="8"/>
  <c r="B53" i="8"/>
  <c r="B52" i="8"/>
  <c r="B51" i="8"/>
  <c r="B50" i="8"/>
  <c r="B49" i="8"/>
  <c r="B48" i="8"/>
  <c r="B47" i="8"/>
  <c r="B45" i="8"/>
  <c r="B44" i="8"/>
  <c r="B43" i="8"/>
  <c r="B42" i="8"/>
  <c r="O59" i="1"/>
  <c r="O31" i="1"/>
  <c r="O32" i="1"/>
  <c r="O33" i="1"/>
  <c r="O34" i="1"/>
  <c r="O35" i="1"/>
  <c r="O36" i="1"/>
  <c r="O40" i="1"/>
  <c r="O41" i="1"/>
  <c r="O42" i="1"/>
  <c r="O43" i="1"/>
  <c r="O61" i="1"/>
  <c r="N59" i="1"/>
  <c r="N31" i="1"/>
  <c r="N32" i="1"/>
  <c r="N33" i="1"/>
  <c r="N34" i="1"/>
  <c r="N35" i="1"/>
  <c r="N36" i="1"/>
  <c r="N40" i="1"/>
  <c r="N41" i="1"/>
  <c r="N42" i="1"/>
  <c r="N43" i="1"/>
  <c r="N61" i="1"/>
  <c r="M59" i="1"/>
  <c r="M31" i="1"/>
  <c r="M32" i="1"/>
  <c r="M33" i="1"/>
  <c r="M34" i="1"/>
  <c r="M35" i="1"/>
  <c r="M36" i="1"/>
  <c r="M40" i="1"/>
  <c r="M41" i="1"/>
  <c r="M42" i="1"/>
  <c r="M43" i="1"/>
  <c r="M61" i="1"/>
  <c r="L59" i="1"/>
  <c r="L31" i="1"/>
  <c r="L32" i="1"/>
  <c r="L33" i="1"/>
  <c r="L34" i="1"/>
  <c r="L35" i="1"/>
  <c r="L36" i="1"/>
  <c r="L40" i="1"/>
  <c r="L42" i="1"/>
  <c r="L43" i="1"/>
  <c r="L61" i="1"/>
  <c r="K59" i="1"/>
  <c r="K31" i="1"/>
  <c r="K32" i="1"/>
  <c r="K33" i="1"/>
  <c r="K34" i="1"/>
  <c r="K35" i="1"/>
  <c r="K36" i="1"/>
  <c r="K40" i="1"/>
  <c r="K41" i="1"/>
  <c r="K42" i="1"/>
  <c r="K43" i="1"/>
  <c r="K61" i="1"/>
  <c r="J59" i="1"/>
  <c r="J31" i="1"/>
  <c r="J32" i="1"/>
  <c r="J33" i="1"/>
  <c r="J34" i="1"/>
  <c r="J35" i="1"/>
  <c r="J36" i="1"/>
  <c r="J40" i="1"/>
  <c r="J41" i="1"/>
  <c r="J42" i="1"/>
  <c r="J43" i="1"/>
  <c r="J61" i="1"/>
  <c r="I59" i="1"/>
  <c r="I31" i="1"/>
  <c r="I32" i="1"/>
  <c r="I33" i="1"/>
  <c r="I34" i="1"/>
  <c r="I35" i="1"/>
  <c r="I36" i="1"/>
  <c r="I40" i="1"/>
  <c r="I41" i="1"/>
  <c r="I42" i="1"/>
  <c r="I43" i="1"/>
  <c r="I61" i="1"/>
  <c r="H59" i="1"/>
  <c r="H31" i="1"/>
  <c r="H32" i="1"/>
  <c r="H33" i="1"/>
  <c r="H34" i="1"/>
  <c r="H35" i="1"/>
  <c r="H36" i="1"/>
  <c r="H40" i="1"/>
  <c r="H42" i="1"/>
  <c r="H43" i="1"/>
  <c r="H61" i="1"/>
  <c r="G59" i="1"/>
  <c r="G31" i="1"/>
  <c r="G32" i="1"/>
  <c r="G33" i="1"/>
  <c r="G34" i="1"/>
  <c r="G35" i="1"/>
  <c r="G36" i="1"/>
  <c r="G40" i="1"/>
  <c r="G41" i="1"/>
  <c r="G42" i="1"/>
  <c r="G43" i="1"/>
  <c r="G61" i="1"/>
  <c r="F59" i="1"/>
  <c r="F31" i="1"/>
  <c r="F32" i="1"/>
  <c r="F33" i="1"/>
  <c r="F34" i="1"/>
  <c r="F35" i="1"/>
  <c r="F36" i="1"/>
  <c r="F40" i="1"/>
  <c r="F41" i="1"/>
  <c r="F42" i="1"/>
  <c r="F43" i="1"/>
  <c r="F61" i="1"/>
  <c r="E59" i="1"/>
  <c r="E31" i="1"/>
  <c r="E32" i="1"/>
  <c r="E33" i="1"/>
  <c r="E34" i="1"/>
  <c r="E35" i="1"/>
  <c r="E36" i="1"/>
  <c r="E40" i="1"/>
  <c r="E41" i="1"/>
  <c r="E42" i="1"/>
  <c r="E43" i="1"/>
  <c r="E61" i="1"/>
  <c r="D59" i="1"/>
  <c r="D31" i="1"/>
  <c r="D32" i="1"/>
  <c r="D33" i="1"/>
  <c r="D34" i="1"/>
  <c r="D35" i="1"/>
  <c r="D36" i="1"/>
  <c r="D42" i="1"/>
  <c r="D43" i="1"/>
  <c r="D61" i="1"/>
  <c r="C59" i="1"/>
  <c r="C31" i="1"/>
  <c r="C32" i="1"/>
  <c r="C33" i="1"/>
  <c r="C34" i="1"/>
  <c r="C35" i="1"/>
  <c r="C36" i="1"/>
  <c r="C41" i="1"/>
  <c r="C42" i="1"/>
  <c r="C43" i="1"/>
  <c r="C61" i="1"/>
  <c r="B59" i="1"/>
  <c r="B31" i="1"/>
  <c r="B32" i="1"/>
  <c r="B33" i="1"/>
  <c r="B34" i="1"/>
  <c r="B35" i="1"/>
  <c r="B36" i="1"/>
  <c r="B41" i="1"/>
  <c r="B42" i="1"/>
  <c r="B43" i="1"/>
  <c r="B61" i="1"/>
  <c r="O18" i="16"/>
  <c r="O25" i="16"/>
  <c r="O26" i="16"/>
  <c r="O27" i="16"/>
  <c r="O28" i="16"/>
  <c r="N18" i="16"/>
  <c r="N25" i="16"/>
  <c r="N26" i="16"/>
  <c r="N27" i="16"/>
  <c r="N28" i="16"/>
  <c r="M18" i="16"/>
  <c r="M25" i="16"/>
  <c r="M26" i="16"/>
  <c r="M27" i="16"/>
  <c r="M28" i="16"/>
  <c r="L18" i="16"/>
  <c r="L25" i="16"/>
  <c r="L26" i="16"/>
  <c r="L27" i="16"/>
  <c r="L28" i="16"/>
  <c r="K18" i="16"/>
  <c r="K25" i="16"/>
  <c r="K26" i="16"/>
  <c r="K27" i="16"/>
  <c r="K28" i="16"/>
  <c r="J18" i="16"/>
  <c r="J25" i="16"/>
  <c r="J26" i="16"/>
  <c r="J27" i="16"/>
  <c r="J28" i="16"/>
  <c r="I18" i="16"/>
  <c r="I25" i="16"/>
  <c r="I26" i="16"/>
  <c r="I27" i="16"/>
  <c r="I28" i="16"/>
  <c r="H18" i="16"/>
  <c r="H25" i="16"/>
  <c r="H26" i="16"/>
  <c r="H27" i="16"/>
  <c r="H28" i="16"/>
  <c r="G18" i="16"/>
  <c r="G25" i="16"/>
  <c r="G26" i="16"/>
  <c r="G27" i="16"/>
  <c r="G28" i="16"/>
  <c r="F18" i="16"/>
  <c r="F25" i="16"/>
  <c r="F26" i="16"/>
  <c r="F27" i="16"/>
  <c r="F28" i="16"/>
  <c r="E18" i="16"/>
  <c r="E25" i="16"/>
  <c r="E26" i="16"/>
  <c r="E27" i="16"/>
  <c r="E28" i="16"/>
  <c r="D18" i="16"/>
  <c r="D25" i="16"/>
  <c r="D26" i="16"/>
  <c r="D27" i="16"/>
  <c r="D28" i="16"/>
  <c r="C18" i="16"/>
  <c r="C25" i="16"/>
  <c r="C26" i="16"/>
  <c r="C27" i="16"/>
  <c r="C28" i="16"/>
  <c r="B18" i="16"/>
  <c r="B25" i="16"/>
  <c r="B26" i="16"/>
  <c r="B27" i="16"/>
  <c r="B28" i="16"/>
  <c r="N5" i="16"/>
  <c r="M5" i="16"/>
  <c r="L5" i="16"/>
  <c r="K5" i="16"/>
  <c r="J5" i="16"/>
  <c r="I5" i="16"/>
  <c r="H5" i="16"/>
  <c r="G5" i="16"/>
  <c r="F5" i="16"/>
  <c r="E5" i="16"/>
  <c r="D5" i="16"/>
  <c r="C5" i="16"/>
  <c r="B5" i="16"/>
  <c r="B25" i="1"/>
  <c r="B26" i="1"/>
  <c r="B27" i="1"/>
  <c r="B18" i="1"/>
  <c r="B28" i="1"/>
  <c r="B65" i="1"/>
  <c r="B66" i="1"/>
  <c r="B75" i="1"/>
  <c r="B76" i="1"/>
  <c r="B77" i="1"/>
  <c r="B79" i="1"/>
  <c r="B80" i="1"/>
  <c r="B81" i="1"/>
  <c r="B82" i="1"/>
  <c r="B83" i="1"/>
  <c r="C65" i="1"/>
  <c r="C66" i="1"/>
  <c r="C75" i="1"/>
  <c r="C76" i="1"/>
  <c r="C18" i="1"/>
  <c r="C25" i="1"/>
  <c r="C26" i="1"/>
  <c r="C27" i="1"/>
  <c r="C28" i="1"/>
  <c r="C77" i="1"/>
  <c r="C79" i="1"/>
  <c r="C80" i="1"/>
  <c r="C81" i="1"/>
  <c r="C82" i="1"/>
  <c r="C83" i="1"/>
  <c r="D65" i="1"/>
  <c r="D66" i="1"/>
  <c r="D75" i="1"/>
  <c r="D76" i="1"/>
  <c r="D18" i="1"/>
  <c r="D25" i="1"/>
  <c r="D26" i="1"/>
  <c r="D27" i="1"/>
  <c r="D28" i="1"/>
  <c r="D77" i="1"/>
  <c r="D79" i="1"/>
  <c r="D80" i="1"/>
  <c r="D81" i="1"/>
  <c r="D82" i="1"/>
  <c r="D83" i="1"/>
  <c r="E65" i="1"/>
  <c r="E66" i="1"/>
  <c r="E75" i="1"/>
  <c r="E76" i="1"/>
  <c r="E18" i="1"/>
  <c r="E25" i="1"/>
  <c r="E26" i="1"/>
  <c r="E27" i="1"/>
  <c r="E28" i="1"/>
  <c r="E77" i="1"/>
  <c r="E79" i="1"/>
  <c r="E80" i="1"/>
  <c r="E81" i="1"/>
  <c r="E82" i="1"/>
  <c r="E83" i="1"/>
  <c r="F65" i="1"/>
  <c r="F66" i="1"/>
  <c r="F75" i="1"/>
  <c r="F76" i="1"/>
  <c r="F18" i="1"/>
  <c r="F25" i="1"/>
  <c r="F26" i="1"/>
  <c r="F27" i="1"/>
  <c r="F28" i="1"/>
  <c r="F77" i="1"/>
  <c r="F79" i="1"/>
  <c r="F80" i="1"/>
  <c r="F81" i="1"/>
  <c r="F82" i="1"/>
  <c r="F83" i="1"/>
  <c r="G65" i="1"/>
  <c r="G66" i="1"/>
  <c r="G75" i="1"/>
  <c r="G76" i="1"/>
  <c r="G18" i="1"/>
  <c r="G25" i="1"/>
  <c r="G26" i="1"/>
  <c r="G27" i="1"/>
  <c r="G28" i="1"/>
  <c r="G77" i="1"/>
  <c r="G79" i="1"/>
  <c r="G80" i="1"/>
  <c r="G81" i="1"/>
  <c r="G82" i="1"/>
  <c r="G83" i="1"/>
  <c r="H65" i="1"/>
  <c r="H66" i="1"/>
  <c r="H75" i="1"/>
  <c r="H76" i="1"/>
  <c r="H18" i="1"/>
  <c r="H25" i="1"/>
  <c r="H26" i="1"/>
  <c r="H27" i="1"/>
  <c r="H28" i="1"/>
  <c r="H77" i="1"/>
  <c r="H79" i="1"/>
  <c r="H80" i="1"/>
  <c r="H81" i="1"/>
  <c r="H82" i="1"/>
  <c r="H83" i="1"/>
  <c r="I65" i="1"/>
  <c r="I66" i="1"/>
  <c r="I75" i="1"/>
  <c r="I76" i="1"/>
  <c r="I18" i="1"/>
  <c r="I25" i="1"/>
  <c r="I26" i="1"/>
  <c r="I27" i="1"/>
  <c r="I28" i="1"/>
  <c r="I77" i="1"/>
  <c r="I79" i="1"/>
  <c r="I80" i="1"/>
  <c r="I81" i="1"/>
  <c r="I82" i="1"/>
  <c r="I83" i="1"/>
  <c r="J65" i="1"/>
  <c r="J66" i="1"/>
  <c r="J75" i="1"/>
  <c r="J76" i="1"/>
  <c r="J18" i="1"/>
  <c r="J25" i="1"/>
  <c r="J26" i="1"/>
  <c r="J27" i="1"/>
  <c r="J28" i="1"/>
  <c r="J77" i="1"/>
  <c r="J79" i="1"/>
  <c r="J80" i="1"/>
  <c r="J81" i="1"/>
  <c r="J82" i="1"/>
  <c r="J83" i="1"/>
  <c r="K65" i="1"/>
  <c r="K66" i="1"/>
  <c r="K75" i="1"/>
  <c r="K76" i="1"/>
  <c r="K18" i="1"/>
  <c r="K25" i="1"/>
  <c r="K26" i="1"/>
  <c r="K27" i="1"/>
  <c r="K28" i="1"/>
  <c r="K77" i="1"/>
  <c r="K79" i="1"/>
  <c r="K80" i="1"/>
  <c r="K81" i="1"/>
  <c r="K82" i="1"/>
  <c r="K83" i="1"/>
  <c r="L65" i="1"/>
  <c r="L66" i="1"/>
  <c r="L75" i="1"/>
  <c r="L76" i="1"/>
  <c r="L18" i="1"/>
  <c r="L25" i="1"/>
  <c r="L26" i="1"/>
  <c r="L27" i="1"/>
  <c r="L28" i="1"/>
  <c r="L77" i="1"/>
  <c r="L79" i="1"/>
  <c r="L80" i="1"/>
  <c r="L81" i="1"/>
  <c r="L82" i="1"/>
  <c r="L83" i="1"/>
  <c r="M65" i="1"/>
  <c r="M66" i="1"/>
  <c r="M75" i="1"/>
  <c r="M76" i="1"/>
  <c r="M18" i="1"/>
  <c r="M25" i="1"/>
  <c r="M26" i="1"/>
  <c r="M27" i="1"/>
  <c r="M28" i="1"/>
  <c r="M77" i="1"/>
  <c r="M79" i="1"/>
  <c r="M80" i="1"/>
  <c r="M81" i="1"/>
  <c r="M82" i="1"/>
  <c r="M83" i="1"/>
  <c r="N65" i="1"/>
  <c r="N66" i="1"/>
  <c r="N75" i="1"/>
  <c r="N76" i="1"/>
  <c r="N18" i="1"/>
  <c r="N25" i="1"/>
  <c r="N26" i="1"/>
  <c r="N27" i="1"/>
  <c r="N28" i="1"/>
  <c r="N77" i="1"/>
  <c r="N79" i="1"/>
  <c r="N80" i="1"/>
  <c r="N81" i="1"/>
  <c r="N82" i="1"/>
  <c r="N83" i="1"/>
  <c r="O65" i="1"/>
  <c r="O66" i="1"/>
  <c r="O75" i="1"/>
  <c r="O76" i="1"/>
  <c r="O18" i="1"/>
  <c r="O25" i="1"/>
  <c r="O26" i="1"/>
  <c r="O27" i="1"/>
  <c r="O28" i="1"/>
  <c r="O77" i="1"/>
  <c r="O79" i="1"/>
  <c r="O80" i="1"/>
  <c r="O81" i="1"/>
  <c r="O82" i="1"/>
  <c r="O83" i="1"/>
  <c r="P80" i="1"/>
  <c r="P79" i="1"/>
  <c r="B78" i="1"/>
  <c r="C78" i="1"/>
  <c r="D78" i="1"/>
  <c r="E78" i="1"/>
  <c r="F78" i="1"/>
  <c r="G78" i="1"/>
  <c r="H78" i="1"/>
  <c r="I78" i="1"/>
  <c r="J78" i="1"/>
  <c r="K78" i="1"/>
  <c r="L78" i="1"/>
  <c r="M78" i="1"/>
  <c r="N78" i="1"/>
  <c r="O78" i="1"/>
  <c r="P78" i="1"/>
  <c r="P75" i="1"/>
  <c r="P64" i="1"/>
  <c r="P63" i="1"/>
  <c r="P51" i="1"/>
  <c r="P50" i="1"/>
  <c r="P49" i="1"/>
  <c r="P48" i="1"/>
  <c r="P47" i="1"/>
  <c r="P46" i="1"/>
  <c r="P45" i="1"/>
  <c r="P44" i="1"/>
  <c r="P42" i="1"/>
  <c r="P41" i="1"/>
  <c r="P40" i="1"/>
  <c r="P38" i="1"/>
  <c r="P37" i="1"/>
  <c r="P35" i="1"/>
  <c r="P34" i="1"/>
  <c r="P33" i="1"/>
  <c r="P32" i="1"/>
  <c r="P31" i="1"/>
  <c r="N5" i="1"/>
  <c r="M5" i="1"/>
  <c r="L5" i="1"/>
  <c r="K5" i="1"/>
  <c r="J5" i="1"/>
  <c r="I5" i="1"/>
  <c r="H5" i="1"/>
  <c r="G5" i="1"/>
  <c r="F5" i="1"/>
  <c r="E5" i="1"/>
  <c r="D5" i="1"/>
  <c r="C5" i="1"/>
  <c r="B5" i="1"/>
  <c r="C29" i="15"/>
  <c r="C30" i="15"/>
  <c r="C28" i="15"/>
  <c r="C27" i="15"/>
  <c r="E7" i="8"/>
  <c r="F7" i="8"/>
  <c r="G7" i="8"/>
  <c r="H7" i="8"/>
  <c r="I7" i="8"/>
  <c r="J7" i="8"/>
  <c r="K7" i="8"/>
  <c r="L7" i="8"/>
  <c r="M7" i="8"/>
  <c r="N7" i="8"/>
  <c r="O7" i="8"/>
  <c r="P7" i="8"/>
  <c r="Q7" i="8"/>
  <c r="R7" i="8"/>
  <c r="S7" i="8"/>
  <c r="T7" i="8"/>
  <c r="U7" i="8"/>
  <c r="V7" i="8"/>
  <c r="W7" i="8"/>
  <c r="X7" i="8"/>
  <c r="Y7" i="8"/>
  <c r="Z7" i="8"/>
  <c r="I22" i="9"/>
  <c r="I18" i="9"/>
  <c r="I14" i="9"/>
  <c r="I23" i="9"/>
  <c r="H22" i="9"/>
  <c r="H18" i="9"/>
  <c r="H14" i="9"/>
  <c r="H23" i="9"/>
  <c r="I10" i="9"/>
  <c r="H10" i="9"/>
  <c r="AY5" i="9"/>
  <c r="AZ5" i="9"/>
  <c r="BA5" i="9"/>
  <c r="BB5" i="9"/>
  <c r="BC5" i="9"/>
  <c r="BD5" i="9"/>
  <c r="BE5" i="9"/>
  <c r="BF5" i="9"/>
  <c r="BG5" i="9"/>
  <c r="BH5" i="9"/>
  <c r="BI5" i="9"/>
  <c r="BJ5" i="9"/>
  <c r="BK5" i="9"/>
  <c r="BL5" i="9"/>
  <c r="BM5" i="9"/>
  <c r="BN5" i="9"/>
  <c r="BO5" i="9"/>
  <c r="BP5" i="9"/>
  <c r="BQ5" i="9"/>
  <c r="BR5" i="9"/>
  <c r="BS5" i="9"/>
  <c r="BT5" i="9"/>
  <c r="BU5" i="9"/>
  <c r="BV5" i="9"/>
  <c r="BW5" i="9"/>
  <c r="BX5" i="9"/>
  <c r="BY5" i="9"/>
  <c r="BZ5" i="9"/>
  <c r="CA5" i="9"/>
  <c r="CB5" i="9"/>
  <c r="CC5" i="9"/>
  <c r="CD5" i="9"/>
  <c r="CE5" i="9"/>
  <c r="CF5" i="9"/>
  <c r="CG5" i="9"/>
  <c r="CH5" i="9"/>
  <c r="CI5" i="9"/>
  <c r="CJ5" i="9"/>
  <c r="CK5" i="9"/>
  <c r="CL5" i="9"/>
  <c r="CM5" i="9"/>
  <c r="CN5" i="9"/>
  <c r="CO5" i="9"/>
  <c r="CP5" i="9"/>
  <c r="CQ5" i="9"/>
  <c r="CR5" i="9"/>
  <c r="CS5" i="9"/>
  <c r="CT5" i="9"/>
  <c r="CU5" i="9"/>
  <c r="CV5" i="9"/>
  <c r="CW5" i="9"/>
  <c r="CW28" i="9"/>
  <c r="CV28" i="9"/>
  <c r="CU28" i="9"/>
  <c r="CT28" i="9"/>
  <c r="CS28" i="9"/>
  <c r="CR28" i="9"/>
  <c r="CQ28" i="9"/>
  <c r="CP28" i="9"/>
  <c r="CO28" i="9"/>
  <c r="CN28" i="9"/>
  <c r="CM28" i="9"/>
  <c r="CL28" i="9"/>
  <c r="CK28" i="9"/>
  <c r="CJ28" i="9"/>
  <c r="CI28" i="9"/>
  <c r="CH28" i="9"/>
  <c r="CG28" i="9"/>
  <c r="CF28" i="9"/>
  <c r="CE28" i="9"/>
  <c r="CD28" i="9"/>
  <c r="CC28" i="9"/>
  <c r="CB28" i="9"/>
  <c r="CA28" i="9"/>
  <c r="BZ28" i="9"/>
  <c r="BY28" i="9"/>
  <c r="BX28" i="9"/>
  <c r="BW28" i="9"/>
  <c r="BV28" i="9"/>
  <c r="BU28" i="9"/>
  <c r="BT28" i="9"/>
  <c r="BS28" i="9"/>
  <c r="BR28" i="9"/>
  <c r="BQ28" i="9"/>
  <c r="BP28" i="9"/>
  <c r="BO28" i="9"/>
  <c r="BN28" i="9"/>
  <c r="BM28" i="9"/>
  <c r="BL28" i="9"/>
  <c r="BK28" i="9"/>
  <c r="BJ28" i="9"/>
  <c r="BI28" i="9"/>
  <c r="BH28" i="9"/>
  <c r="BG28" i="9"/>
  <c r="BF28" i="9"/>
  <c r="BE28" i="9"/>
  <c r="BD28" i="9"/>
  <c r="BC28" i="9"/>
  <c r="BB28" i="9"/>
  <c r="BA28" i="9"/>
  <c r="AZ28" i="9"/>
  <c r="AY28" i="9"/>
  <c r="AX28" i="9"/>
  <c r="CW27" i="9"/>
  <c r="CV27" i="9"/>
  <c r="CU27" i="9"/>
  <c r="CT27" i="9"/>
  <c r="CS27" i="9"/>
  <c r="CR27" i="9"/>
  <c r="CQ27" i="9"/>
  <c r="CP27" i="9"/>
  <c r="CO27" i="9"/>
  <c r="CN27" i="9"/>
  <c r="CM27" i="9"/>
  <c r="CL27" i="9"/>
  <c r="CK27" i="9"/>
  <c r="CJ27" i="9"/>
  <c r="CI27" i="9"/>
  <c r="CH27" i="9"/>
  <c r="CG27" i="9"/>
  <c r="CF27" i="9"/>
  <c r="CE27" i="9"/>
  <c r="CD27" i="9"/>
  <c r="CC27" i="9"/>
  <c r="CB27" i="9"/>
  <c r="CA27" i="9"/>
  <c r="BZ27" i="9"/>
  <c r="BY27" i="9"/>
  <c r="BX27" i="9"/>
  <c r="BW27" i="9"/>
  <c r="BV27" i="9"/>
  <c r="BU27" i="9"/>
  <c r="BT27" i="9"/>
  <c r="BS27" i="9"/>
  <c r="BR27" i="9"/>
  <c r="BQ27" i="9"/>
  <c r="BP27" i="9"/>
  <c r="BO27" i="9"/>
  <c r="BN27" i="9"/>
  <c r="BM27" i="9"/>
  <c r="BL27" i="9"/>
  <c r="BK27" i="9"/>
  <c r="BJ27" i="9"/>
  <c r="BI27" i="9"/>
  <c r="BH27" i="9"/>
  <c r="BG27" i="9"/>
  <c r="BF27" i="9"/>
  <c r="BE27" i="9"/>
  <c r="BD27" i="9"/>
  <c r="BC27" i="9"/>
  <c r="BB27" i="9"/>
  <c r="BA27" i="9"/>
  <c r="AZ27" i="9"/>
  <c r="AY27" i="9"/>
  <c r="AX27" i="9"/>
  <c r="CW26" i="9"/>
  <c r="CV26" i="9"/>
  <c r="CU26" i="9"/>
  <c r="CT26" i="9"/>
  <c r="CS26" i="9"/>
  <c r="CR26" i="9"/>
  <c r="CQ26" i="9"/>
  <c r="CP26" i="9"/>
  <c r="CO26" i="9"/>
  <c r="CN26" i="9"/>
  <c r="CM26" i="9"/>
  <c r="CL26" i="9"/>
  <c r="CK26" i="9"/>
  <c r="CJ26" i="9"/>
  <c r="CI26" i="9"/>
  <c r="CH26" i="9"/>
  <c r="CG26" i="9"/>
  <c r="CF26" i="9"/>
  <c r="CE26" i="9"/>
  <c r="CD26" i="9"/>
  <c r="CC26" i="9"/>
  <c r="CB26" i="9"/>
  <c r="CA26" i="9"/>
  <c r="BZ26" i="9"/>
  <c r="BY26" i="9"/>
  <c r="BX26" i="9"/>
  <c r="BW26" i="9"/>
  <c r="BV26" i="9"/>
  <c r="BU26" i="9"/>
  <c r="BT26" i="9"/>
  <c r="BS26" i="9"/>
  <c r="BR26" i="9"/>
  <c r="BQ26" i="9"/>
  <c r="BP26" i="9"/>
  <c r="BO26" i="9"/>
  <c r="BN26" i="9"/>
  <c r="BM26" i="9"/>
  <c r="BL26" i="9"/>
  <c r="BK26" i="9"/>
  <c r="BJ26" i="9"/>
  <c r="BI26" i="9"/>
  <c r="BH26" i="9"/>
  <c r="BG26" i="9"/>
  <c r="BF26" i="9"/>
  <c r="BE26" i="9"/>
  <c r="BD26" i="9"/>
  <c r="BC26" i="9"/>
  <c r="BB26" i="9"/>
  <c r="BA26" i="9"/>
  <c r="AZ26" i="9"/>
  <c r="AY26" i="9"/>
  <c r="AX26" i="9"/>
  <c r="CW25" i="9"/>
  <c r="CV25" i="9"/>
  <c r="CU25" i="9"/>
  <c r="CT25" i="9"/>
  <c r="CS25" i="9"/>
  <c r="CR25" i="9"/>
  <c r="CQ25" i="9"/>
  <c r="CP25" i="9"/>
  <c r="CO25" i="9"/>
  <c r="CN25" i="9"/>
  <c r="CM25" i="9"/>
  <c r="CL25" i="9"/>
  <c r="CK25" i="9"/>
  <c r="CJ25" i="9"/>
  <c r="CI25" i="9"/>
  <c r="CH25" i="9"/>
  <c r="CG25" i="9"/>
  <c r="CF25" i="9"/>
  <c r="CE25" i="9"/>
  <c r="CD25" i="9"/>
  <c r="CC25" i="9"/>
  <c r="CB25" i="9"/>
  <c r="CA25" i="9"/>
  <c r="BZ25" i="9"/>
  <c r="BY25" i="9"/>
  <c r="BX25" i="9"/>
  <c r="BW25" i="9"/>
  <c r="BV25" i="9"/>
  <c r="BU25" i="9"/>
  <c r="BT25" i="9"/>
  <c r="BS25" i="9"/>
  <c r="BR25" i="9"/>
  <c r="BQ25" i="9"/>
  <c r="BP25" i="9"/>
  <c r="BO25" i="9"/>
  <c r="BN25" i="9"/>
  <c r="BM25" i="9"/>
  <c r="BL25" i="9"/>
  <c r="BK25" i="9"/>
  <c r="BJ25" i="9"/>
  <c r="BI25" i="9"/>
  <c r="BH25" i="9"/>
  <c r="BG25" i="9"/>
  <c r="BF25" i="9"/>
  <c r="BE25" i="9"/>
  <c r="BD25" i="9"/>
  <c r="BC25" i="9"/>
  <c r="BB25" i="9"/>
  <c r="BA25" i="9"/>
  <c r="AZ25" i="9"/>
  <c r="AY25" i="9"/>
  <c r="AX25" i="9"/>
  <c r="CW24" i="9"/>
  <c r="CV24" i="9"/>
  <c r="CU24" i="9"/>
  <c r="CT24" i="9"/>
  <c r="CS24" i="9"/>
  <c r="CR24" i="9"/>
  <c r="CQ24" i="9"/>
  <c r="CP24" i="9"/>
  <c r="CO24" i="9"/>
  <c r="CN24" i="9"/>
  <c r="CM24" i="9"/>
  <c r="CL24" i="9"/>
  <c r="CK24" i="9"/>
  <c r="CJ24" i="9"/>
  <c r="CI24" i="9"/>
  <c r="CH24" i="9"/>
  <c r="CG24" i="9"/>
  <c r="CF24" i="9"/>
  <c r="CE24" i="9"/>
  <c r="CD24" i="9"/>
  <c r="CC24" i="9"/>
  <c r="CB24" i="9"/>
  <c r="CA24" i="9"/>
  <c r="BZ24" i="9"/>
  <c r="BY24" i="9"/>
  <c r="BX24" i="9"/>
  <c r="BW24" i="9"/>
  <c r="BV24" i="9"/>
  <c r="BU24" i="9"/>
  <c r="BT24" i="9"/>
  <c r="BS24" i="9"/>
  <c r="BR24" i="9"/>
  <c r="BQ24" i="9"/>
  <c r="BP24" i="9"/>
  <c r="BO24" i="9"/>
  <c r="BN24" i="9"/>
  <c r="BM24" i="9"/>
  <c r="BL24" i="9"/>
  <c r="BK24" i="9"/>
  <c r="BJ24" i="9"/>
  <c r="BI24" i="9"/>
  <c r="BH24" i="9"/>
  <c r="BG24" i="9"/>
  <c r="BF24" i="9"/>
  <c r="BE24" i="9"/>
  <c r="BD24" i="9"/>
  <c r="BC24" i="9"/>
  <c r="BB24" i="9"/>
  <c r="BA24" i="9"/>
  <c r="AZ24" i="9"/>
  <c r="AY24" i="9"/>
  <c r="AX24" i="9"/>
  <c r="CW23" i="9"/>
  <c r="CV23" i="9"/>
  <c r="CU23" i="9"/>
  <c r="CT23" i="9"/>
  <c r="CS23" i="9"/>
  <c r="CR23" i="9"/>
  <c r="CQ23" i="9"/>
  <c r="CP23" i="9"/>
  <c r="CO23" i="9"/>
  <c r="CN23" i="9"/>
  <c r="CM23" i="9"/>
  <c r="CL23" i="9"/>
  <c r="CK23" i="9"/>
  <c r="CJ23" i="9"/>
  <c r="CI23" i="9"/>
  <c r="CH23" i="9"/>
  <c r="CG23" i="9"/>
  <c r="CF23" i="9"/>
  <c r="CE23" i="9"/>
  <c r="CD23" i="9"/>
  <c r="CC23" i="9"/>
  <c r="CB23" i="9"/>
  <c r="CA23" i="9"/>
  <c r="BZ23" i="9"/>
  <c r="BY23" i="9"/>
  <c r="BX23" i="9"/>
  <c r="BW23" i="9"/>
  <c r="BV23" i="9"/>
  <c r="BU23" i="9"/>
  <c r="BT23" i="9"/>
  <c r="BS23" i="9"/>
  <c r="BR23" i="9"/>
  <c r="BQ23" i="9"/>
  <c r="BP23" i="9"/>
  <c r="BO23" i="9"/>
  <c r="BN23" i="9"/>
  <c r="BM23" i="9"/>
  <c r="BL23" i="9"/>
  <c r="BK23" i="9"/>
  <c r="BJ23" i="9"/>
  <c r="BI23" i="9"/>
  <c r="BH23" i="9"/>
  <c r="BG23" i="9"/>
  <c r="BF23" i="9"/>
  <c r="BE23" i="9"/>
  <c r="BD23" i="9"/>
  <c r="BC23" i="9"/>
  <c r="BB23" i="9"/>
  <c r="BA23" i="9"/>
  <c r="AZ23" i="9"/>
  <c r="AY23" i="9"/>
  <c r="AX23" i="9"/>
  <c r="CW22" i="9"/>
  <c r="CV22" i="9"/>
  <c r="CU22" i="9"/>
  <c r="CT22" i="9"/>
  <c r="CS22" i="9"/>
  <c r="CR22" i="9"/>
  <c r="CQ22" i="9"/>
  <c r="CP22" i="9"/>
  <c r="CO22" i="9"/>
  <c r="CN22" i="9"/>
  <c r="CM22" i="9"/>
  <c r="CL22" i="9"/>
  <c r="CK22" i="9"/>
  <c r="CJ22" i="9"/>
  <c r="CI22" i="9"/>
  <c r="CH22" i="9"/>
  <c r="CG22" i="9"/>
  <c r="CF22" i="9"/>
  <c r="CE22" i="9"/>
  <c r="CD22" i="9"/>
  <c r="CC22" i="9"/>
  <c r="CB22" i="9"/>
  <c r="CA22" i="9"/>
  <c r="BZ22" i="9"/>
  <c r="BY22" i="9"/>
  <c r="BX22" i="9"/>
  <c r="BW22" i="9"/>
  <c r="BV22" i="9"/>
  <c r="BU22" i="9"/>
  <c r="BT22" i="9"/>
  <c r="BS22" i="9"/>
  <c r="BR22" i="9"/>
  <c r="BQ22" i="9"/>
  <c r="BP22" i="9"/>
  <c r="BO22" i="9"/>
  <c r="BN22" i="9"/>
  <c r="BM22" i="9"/>
  <c r="BL22" i="9"/>
  <c r="BK22" i="9"/>
  <c r="BJ22" i="9"/>
  <c r="BI22" i="9"/>
  <c r="BH22" i="9"/>
  <c r="BG22" i="9"/>
  <c r="BF22" i="9"/>
  <c r="BE22" i="9"/>
  <c r="BD22" i="9"/>
  <c r="BC22" i="9"/>
  <c r="BB22" i="9"/>
  <c r="BA22" i="9"/>
  <c r="AZ22" i="9"/>
  <c r="AY22" i="9"/>
  <c r="AX22" i="9"/>
  <c r="CW21" i="9"/>
  <c r="CV21" i="9"/>
  <c r="CU21" i="9"/>
  <c r="CT21" i="9"/>
  <c r="CS21" i="9"/>
  <c r="CR21" i="9"/>
  <c r="CQ21" i="9"/>
  <c r="CP21" i="9"/>
  <c r="CO21" i="9"/>
  <c r="CN21" i="9"/>
  <c r="CM21" i="9"/>
  <c r="CL21" i="9"/>
  <c r="CK21" i="9"/>
  <c r="CJ21" i="9"/>
  <c r="CI21" i="9"/>
  <c r="CH21" i="9"/>
  <c r="CG21" i="9"/>
  <c r="CF21" i="9"/>
  <c r="CE21" i="9"/>
  <c r="CD21" i="9"/>
  <c r="CC21" i="9"/>
  <c r="CB21" i="9"/>
  <c r="CA21" i="9"/>
  <c r="BZ21" i="9"/>
  <c r="BY21" i="9"/>
  <c r="BX21" i="9"/>
  <c r="BW21" i="9"/>
  <c r="BV21" i="9"/>
  <c r="BU21" i="9"/>
  <c r="BT21" i="9"/>
  <c r="BS21" i="9"/>
  <c r="BR21" i="9"/>
  <c r="BQ21" i="9"/>
  <c r="BP21" i="9"/>
  <c r="BO21" i="9"/>
  <c r="BN21" i="9"/>
  <c r="BM21" i="9"/>
  <c r="BL21" i="9"/>
  <c r="BK21" i="9"/>
  <c r="BJ21" i="9"/>
  <c r="BI21" i="9"/>
  <c r="BH21" i="9"/>
  <c r="BG21" i="9"/>
  <c r="BF21" i="9"/>
  <c r="BE21" i="9"/>
  <c r="BD21" i="9"/>
  <c r="BC21" i="9"/>
  <c r="BB21" i="9"/>
  <c r="BA21" i="9"/>
  <c r="AZ21" i="9"/>
  <c r="AY21" i="9"/>
  <c r="AX21" i="9"/>
  <c r="CW20" i="9"/>
  <c r="CV20" i="9"/>
  <c r="CU20" i="9"/>
  <c r="CT20" i="9"/>
  <c r="CS20" i="9"/>
  <c r="CR20" i="9"/>
  <c r="CQ20" i="9"/>
  <c r="CP20" i="9"/>
  <c r="CO20" i="9"/>
  <c r="CN20" i="9"/>
  <c r="CM20" i="9"/>
  <c r="CL20" i="9"/>
  <c r="CK20" i="9"/>
  <c r="CJ20" i="9"/>
  <c r="CI20" i="9"/>
  <c r="CH20" i="9"/>
  <c r="CG20" i="9"/>
  <c r="CF20" i="9"/>
  <c r="CE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CW19" i="9"/>
  <c r="CV19" i="9"/>
  <c r="CU19" i="9"/>
  <c r="CT19" i="9"/>
  <c r="CS19" i="9"/>
  <c r="CR19" i="9"/>
  <c r="CQ19" i="9"/>
  <c r="CP19" i="9"/>
  <c r="CO19" i="9"/>
  <c r="CN19" i="9"/>
  <c r="CM19" i="9"/>
  <c r="CL19" i="9"/>
  <c r="CK19" i="9"/>
  <c r="CJ19" i="9"/>
  <c r="CI19" i="9"/>
  <c r="CH19" i="9"/>
  <c r="CG19" i="9"/>
  <c r="CF19" i="9"/>
  <c r="CE19" i="9"/>
  <c r="CD19" i="9"/>
  <c r="CC19" i="9"/>
  <c r="CB19" i="9"/>
  <c r="CA19" i="9"/>
  <c r="BZ19" i="9"/>
  <c r="BY19" i="9"/>
  <c r="BX19" i="9"/>
  <c r="BW19" i="9"/>
  <c r="BV19" i="9"/>
  <c r="BU19" i="9"/>
  <c r="BT19" i="9"/>
  <c r="BS19" i="9"/>
  <c r="BR19" i="9"/>
  <c r="BQ19" i="9"/>
  <c r="BP19" i="9"/>
  <c r="BO19" i="9"/>
  <c r="BN19" i="9"/>
  <c r="BM19" i="9"/>
  <c r="BL19" i="9"/>
  <c r="BK19" i="9"/>
  <c r="BJ19" i="9"/>
  <c r="BI19" i="9"/>
  <c r="BH19" i="9"/>
  <c r="BG19" i="9"/>
  <c r="BF19" i="9"/>
  <c r="BE19" i="9"/>
  <c r="BD19" i="9"/>
  <c r="BC19" i="9"/>
  <c r="BB19" i="9"/>
  <c r="BA19" i="9"/>
  <c r="AZ19" i="9"/>
  <c r="AY19" i="9"/>
  <c r="AX19" i="9"/>
  <c r="CW18" i="9"/>
  <c r="CV18" i="9"/>
  <c r="CU18" i="9"/>
  <c r="CT18" i="9"/>
  <c r="CS18" i="9"/>
  <c r="CR18" i="9"/>
  <c r="CQ18" i="9"/>
  <c r="CP18" i="9"/>
  <c r="CO18" i="9"/>
  <c r="CN18" i="9"/>
  <c r="CM18" i="9"/>
  <c r="CL18" i="9"/>
  <c r="CK18" i="9"/>
  <c r="CJ18" i="9"/>
  <c r="CI18" i="9"/>
  <c r="CH18" i="9"/>
  <c r="CG18" i="9"/>
  <c r="CF18" i="9"/>
  <c r="CE18" i="9"/>
  <c r="CD18" i="9"/>
  <c r="CC18" i="9"/>
  <c r="CB18" i="9"/>
  <c r="CA18" i="9"/>
  <c r="BZ18" i="9"/>
  <c r="BY18" i="9"/>
  <c r="BX18" i="9"/>
  <c r="BW18" i="9"/>
  <c r="BV18" i="9"/>
  <c r="BU18" i="9"/>
  <c r="BT18" i="9"/>
  <c r="BS18" i="9"/>
  <c r="BR18" i="9"/>
  <c r="BQ18" i="9"/>
  <c r="BP18" i="9"/>
  <c r="BO18" i="9"/>
  <c r="BN18" i="9"/>
  <c r="BM18" i="9"/>
  <c r="BL18" i="9"/>
  <c r="BK18" i="9"/>
  <c r="BJ18" i="9"/>
  <c r="BI18" i="9"/>
  <c r="BH18" i="9"/>
  <c r="BG18" i="9"/>
  <c r="BF18" i="9"/>
  <c r="BE18" i="9"/>
  <c r="BD18" i="9"/>
  <c r="BC18" i="9"/>
  <c r="BB18" i="9"/>
  <c r="BA18" i="9"/>
  <c r="AZ18" i="9"/>
  <c r="AY18" i="9"/>
  <c r="AX18" i="9"/>
  <c r="CW17" i="9"/>
  <c r="CV17" i="9"/>
  <c r="CU17" i="9"/>
  <c r="CT17" i="9"/>
  <c r="CS17" i="9"/>
  <c r="CR17" i="9"/>
  <c r="CQ17" i="9"/>
  <c r="CP17" i="9"/>
  <c r="CO17" i="9"/>
  <c r="CN17" i="9"/>
  <c r="CM17" i="9"/>
  <c r="CL17" i="9"/>
  <c r="CK17" i="9"/>
  <c r="CJ17" i="9"/>
  <c r="CI17" i="9"/>
  <c r="CH17" i="9"/>
  <c r="CG17" i="9"/>
  <c r="CF17" i="9"/>
  <c r="CE17" i="9"/>
  <c r="CD17" i="9"/>
  <c r="CC17" i="9"/>
  <c r="CB17" i="9"/>
  <c r="CA17" i="9"/>
  <c r="BZ17" i="9"/>
  <c r="BY17" i="9"/>
  <c r="BX17" i="9"/>
  <c r="BW17" i="9"/>
  <c r="BV17" i="9"/>
  <c r="BU17" i="9"/>
  <c r="BT17" i="9"/>
  <c r="BS17" i="9"/>
  <c r="BR17" i="9"/>
  <c r="BQ17" i="9"/>
  <c r="BP17" i="9"/>
  <c r="BO17" i="9"/>
  <c r="BN17" i="9"/>
  <c r="BM17" i="9"/>
  <c r="BL17" i="9"/>
  <c r="BK17" i="9"/>
  <c r="BJ17" i="9"/>
  <c r="BI17" i="9"/>
  <c r="BH17" i="9"/>
  <c r="BG17" i="9"/>
  <c r="BF17" i="9"/>
  <c r="BE17" i="9"/>
  <c r="BD17" i="9"/>
  <c r="BC17" i="9"/>
  <c r="BB17" i="9"/>
  <c r="BA17" i="9"/>
  <c r="AZ17" i="9"/>
  <c r="AY17" i="9"/>
  <c r="AX17" i="9"/>
  <c r="CW16" i="9"/>
  <c r="CV16" i="9"/>
  <c r="CU16" i="9"/>
  <c r="CT16" i="9"/>
  <c r="CS16" i="9"/>
  <c r="CR16" i="9"/>
  <c r="CQ16" i="9"/>
  <c r="CP16" i="9"/>
  <c r="CO16" i="9"/>
  <c r="CN16" i="9"/>
  <c r="CM16" i="9"/>
  <c r="CL16" i="9"/>
  <c r="CK16" i="9"/>
  <c r="CJ16" i="9"/>
  <c r="CI16" i="9"/>
  <c r="CH16" i="9"/>
  <c r="CG16" i="9"/>
  <c r="CF16" i="9"/>
  <c r="CE16" i="9"/>
  <c r="CD16" i="9"/>
  <c r="CC16" i="9"/>
  <c r="CB16" i="9"/>
  <c r="CA16" i="9"/>
  <c r="BZ16" i="9"/>
  <c r="BY16" i="9"/>
  <c r="BX16" i="9"/>
  <c r="BW16" i="9"/>
  <c r="BV16" i="9"/>
  <c r="BU16" i="9"/>
  <c r="BT16" i="9"/>
  <c r="BS16" i="9"/>
  <c r="BR16" i="9"/>
  <c r="BQ16" i="9"/>
  <c r="BP16" i="9"/>
  <c r="BO16" i="9"/>
  <c r="BN16" i="9"/>
  <c r="BM16" i="9"/>
  <c r="BL16" i="9"/>
  <c r="BK16" i="9"/>
  <c r="BJ16" i="9"/>
  <c r="BI16" i="9"/>
  <c r="BH16" i="9"/>
  <c r="BG16" i="9"/>
  <c r="BF16" i="9"/>
  <c r="BE16" i="9"/>
  <c r="BD16" i="9"/>
  <c r="BC16" i="9"/>
  <c r="BB16" i="9"/>
  <c r="BA16" i="9"/>
  <c r="AZ16" i="9"/>
  <c r="AY16" i="9"/>
  <c r="AX16" i="9"/>
  <c r="CW15" i="9"/>
  <c r="CV15" i="9"/>
  <c r="CU15" i="9"/>
  <c r="CT15" i="9"/>
  <c r="CS15" i="9"/>
  <c r="CR15" i="9"/>
  <c r="CQ15" i="9"/>
  <c r="CP15" i="9"/>
  <c r="CO15" i="9"/>
  <c r="CN15" i="9"/>
  <c r="CM15" i="9"/>
  <c r="CL15" i="9"/>
  <c r="CK15" i="9"/>
  <c r="CJ15" i="9"/>
  <c r="CI15" i="9"/>
  <c r="CH15" i="9"/>
  <c r="CG15" i="9"/>
  <c r="CF15" i="9"/>
  <c r="CE15" i="9"/>
  <c r="CD15" i="9"/>
  <c r="CC15" i="9"/>
  <c r="CB15" i="9"/>
  <c r="CA15" i="9"/>
  <c r="BZ15" i="9"/>
  <c r="BY15" i="9"/>
  <c r="BX15" i="9"/>
  <c r="BW15" i="9"/>
  <c r="BV15" i="9"/>
  <c r="BU15" i="9"/>
  <c r="BT15" i="9"/>
  <c r="BS15" i="9"/>
  <c r="BR15" i="9"/>
  <c r="BQ15" i="9"/>
  <c r="BP15" i="9"/>
  <c r="BO15" i="9"/>
  <c r="BN15" i="9"/>
  <c r="BM15" i="9"/>
  <c r="BL15" i="9"/>
  <c r="BK15" i="9"/>
  <c r="BJ15" i="9"/>
  <c r="BI15" i="9"/>
  <c r="BH15" i="9"/>
  <c r="BG15" i="9"/>
  <c r="BF15" i="9"/>
  <c r="BE15" i="9"/>
  <c r="BD15" i="9"/>
  <c r="BC15" i="9"/>
  <c r="BB15" i="9"/>
  <c r="BA15" i="9"/>
  <c r="AZ15" i="9"/>
  <c r="AY15" i="9"/>
  <c r="AX15" i="9"/>
  <c r="CW14" i="9"/>
  <c r="CV14" i="9"/>
  <c r="CU14" i="9"/>
  <c r="CT14" i="9"/>
  <c r="CS14" i="9"/>
  <c r="CR14" i="9"/>
  <c r="CQ14" i="9"/>
  <c r="CP14" i="9"/>
  <c r="CO14" i="9"/>
  <c r="CN14" i="9"/>
  <c r="CM14" i="9"/>
  <c r="CL14" i="9"/>
  <c r="CK14" i="9"/>
  <c r="CJ14" i="9"/>
  <c r="CI14" i="9"/>
  <c r="CH14" i="9"/>
  <c r="CG14" i="9"/>
  <c r="CF14" i="9"/>
  <c r="CE14" i="9"/>
  <c r="CD14" i="9"/>
  <c r="CC14" i="9"/>
  <c r="CB14" i="9"/>
  <c r="CA14" i="9"/>
  <c r="BZ14" i="9"/>
  <c r="BY14" i="9"/>
  <c r="BX14" i="9"/>
  <c r="BW14" i="9"/>
  <c r="BV14" i="9"/>
  <c r="BU14" i="9"/>
  <c r="BT14" i="9"/>
  <c r="BS14" i="9"/>
  <c r="BR14" i="9"/>
  <c r="BQ14" i="9"/>
  <c r="BP14" i="9"/>
  <c r="BO14" i="9"/>
  <c r="BN14" i="9"/>
  <c r="BM14" i="9"/>
  <c r="BL14" i="9"/>
  <c r="BK14" i="9"/>
  <c r="BJ14" i="9"/>
  <c r="BI14" i="9"/>
  <c r="BH14" i="9"/>
  <c r="BG14" i="9"/>
  <c r="BF14" i="9"/>
  <c r="BE14" i="9"/>
  <c r="BD14" i="9"/>
  <c r="BC14" i="9"/>
  <c r="BB14" i="9"/>
  <c r="BA14" i="9"/>
  <c r="AZ14" i="9"/>
  <c r="AY14" i="9"/>
  <c r="AX14" i="9"/>
  <c r="CW13" i="9"/>
  <c r="CV13" i="9"/>
  <c r="CU13" i="9"/>
  <c r="CT13" i="9"/>
  <c r="CS13" i="9"/>
  <c r="CR13" i="9"/>
  <c r="CQ13" i="9"/>
  <c r="CP13" i="9"/>
  <c r="CO13" i="9"/>
  <c r="CN13" i="9"/>
  <c r="CM13" i="9"/>
  <c r="CL13" i="9"/>
  <c r="CK13" i="9"/>
  <c r="CJ13" i="9"/>
  <c r="CI13" i="9"/>
  <c r="CH13" i="9"/>
  <c r="CG13" i="9"/>
  <c r="CF13" i="9"/>
  <c r="CE13" i="9"/>
  <c r="CD13" i="9"/>
  <c r="CC13" i="9"/>
  <c r="CB13" i="9"/>
  <c r="CA13" i="9"/>
  <c r="BZ13" i="9"/>
  <c r="BY13" i="9"/>
  <c r="BX13" i="9"/>
  <c r="BW13" i="9"/>
  <c r="BV13" i="9"/>
  <c r="BU13" i="9"/>
  <c r="BT13" i="9"/>
  <c r="BS13" i="9"/>
  <c r="BR13" i="9"/>
  <c r="BQ13" i="9"/>
  <c r="BP13" i="9"/>
  <c r="BO13" i="9"/>
  <c r="BN13" i="9"/>
  <c r="BM13" i="9"/>
  <c r="BL13" i="9"/>
  <c r="BK13" i="9"/>
  <c r="BJ13" i="9"/>
  <c r="BI13" i="9"/>
  <c r="BH13" i="9"/>
  <c r="BG13" i="9"/>
  <c r="BF13" i="9"/>
  <c r="BE13" i="9"/>
  <c r="BD13" i="9"/>
  <c r="BC13" i="9"/>
  <c r="BB13" i="9"/>
  <c r="BA13" i="9"/>
  <c r="AZ13" i="9"/>
  <c r="AY13" i="9"/>
  <c r="AX13" i="9"/>
  <c r="CW12" i="9"/>
  <c r="CV12" i="9"/>
  <c r="CU12" i="9"/>
  <c r="CT12" i="9"/>
  <c r="CS12" i="9"/>
  <c r="CR12" i="9"/>
  <c r="CQ12" i="9"/>
  <c r="CP12" i="9"/>
  <c r="CO12" i="9"/>
  <c r="CN12" i="9"/>
  <c r="CM12" i="9"/>
  <c r="CL12" i="9"/>
  <c r="CK12" i="9"/>
  <c r="CJ12" i="9"/>
  <c r="CI12" i="9"/>
  <c r="CH12" i="9"/>
  <c r="CG12" i="9"/>
  <c r="CF12" i="9"/>
  <c r="CE12" i="9"/>
  <c r="CD12" i="9"/>
  <c r="CC12" i="9"/>
  <c r="CB12" i="9"/>
  <c r="CA12" i="9"/>
  <c r="BZ12" i="9"/>
  <c r="BY12" i="9"/>
  <c r="BX12" i="9"/>
  <c r="BW12" i="9"/>
  <c r="BV12" i="9"/>
  <c r="BU12" i="9"/>
  <c r="BT12" i="9"/>
  <c r="BS12" i="9"/>
  <c r="BR12" i="9"/>
  <c r="BQ12" i="9"/>
  <c r="BP12" i="9"/>
  <c r="BO12" i="9"/>
  <c r="BN12" i="9"/>
  <c r="BM12" i="9"/>
  <c r="BL12" i="9"/>
  <c r="BK12" i="9"/>
  <c r="BJ12" i="9"/>
  <c r="BI12" i="9"/>
  <c r="BH12" i="9"/>
  <c r="BG12" i="9"/>
  <c r="BF12" i="9"/>
  <c r="BE12" i="9"/>
  <c r="BD12" i="9"/>
  <c r="BC12" i="9"/>
  <c r="BB12" i="9"/>
  <c r="BA12" i="9"/>
  <c r="AZ12" i="9"/>
  <c r="AY12" i="9"/>
  <c r="AX12" i="9"/>
  <c r="CW11" i="9"/>
  <c r="CV11" i="9"/>
  <c r="CU11" i="9"/>
  <c r="CT11" i="9"/>
  <c r="CS11" i="9"/>
  <c r="CR11" i="9"/>
  <c r="CQ11" i="9"/>
  <c r="CP11" i="9"/>
  <c r="CO11" i="9"/>
  <c r="CN11" i="9"/>
  <c r="CM11" i="9"/>
  <c r="CL11" i="9"/>
  <c r="CK11" i="9"/>
  <c r="CJ11" i="9"/>
  <c r="CI11" i="9"/>
  <c r="CH11" i="9"/>
  <c r="CG11" i="9"/>
  <c r="CF11" i="9"/>
  <c r="CE11" i="9"/>
  <c r="CD11" i="9"/>
  <c r="CC11" i="9"/>
  <c r="CB11" i="9"/>
  <c r="CA11" i="9"/>
  <c r="BZ11" i="9"/>
  <c r="BY11" i="9"/>
  <c r="BX11" i="9"/>
  <c r="BW11" i="9"/>
  <c r="BV11" i="9"/>
  <c r="BU11" i="9"/>
  <c r="BT11" i="9"/>
  <c r="BS11" i="9"/>
  <c r="BR11" i="9"/>
  <c r="BQ11" i="9"/>
  <c r="BP11" i="9"/>
  <c r="BO11" i="9"/>
  <c r="BN11" i="9"/>
  <c r="BM11" i="9"/>
  <c r="BL11" i="9"/>
  <c r="BK11" i="9"/>
  <c r="BJ11" i="9"/>
  <c r="BI11" i="9"/>
  <c r="BH11" i="9"/>
  <c r="BG11" i="9"/>
  <c r="BF11" i="9"/>
  <c r="BE11" i="9"/>
  <c r="BD11" i="9"/>
  <c r="BC11" i="9"/>
  <c r="BB11" i="9"/>
  <c r="BA11" i="9"/>
  <c r="AZ11" i="9"/>
  <c r="AY11" i="9"/>
  <c r="AX11" i="9"/>
  <c r="CW10" i="9"/>
  <c r="CV10" i="9"/>
  <c r="CU10" i="9"/>
  <c r="CT10" i="9"/>
  <c r="CS10" i="9"/>
  <c r="CR10" i="9"/>
  <c r="CQ10" i="9"/>
  <c r="CP10" i="9"/>
  <c r="CO10" i="9"/>
  <c r="CN10" i="9"/>
  <c r="CM10" i="9"/>
  <c r="CL10" i="9"/>
  <c r="CK10" i="9"/>
  <c r="CJ10" i="9"/>
  <c r="CI10" i="9"/>
  <c r="CH10" i="9"/>
  <c r="CG10" i="9"/>
  <c r="CF10" i="9"/>
  <c r="CE10" i="9"/>
  <c r="CD10" i="9"/>
  <c r="CC10" i="9"/>
  <c r="CB10" i="9"/>
  <c r="CA10" i="9"/>
  <c r="BZ10" i="9"/>
  <c r="BY10" i="9"/>
  <c r="BX10" i="9"/>
  <c r="BW10" i="9"/>
  <c r="BV10" i="9"/>
  <c r="BU10" i="9"/>
  <c r="BT10" i="9"/>
  <c r="BS10" i="9"/>
  <c r="BR10" i="9"/>
  <c r="BQ10" i="9"/>
  <c r="BP10" i="9"/>
  <c r="BO10" i="9"/>
  <c r="BN10" i="9"/>
  <c r="BM10" i="9"/>
  <c r="BL10" i="9"/>
  <c r="BK10" i="9"/>
  <c r="BJ10" i="9"/>
  <c r="BI10" i="9"/>
  <c r="BH10" i="9"/>
  <c r="BG10" i="9"/>
  <c r="BF10" i="9"/>
  <c r="BE10" i="9"/>
  <c r="BD10" i="9"/>
  <c r="BC10" i="9"/>
  <c r="BB10" i="9"/>
  <c r="BA10" i="9"/>
  <c r="AZ10" i="9"/>
  <c r="AY10" i="9"/>
  <c r="AX10" i="9"/>
  <c r="CW9" i="9"/>
  <c r="CV9" i="9"/>
  <c r="CU9" i="9"/>
  <c r="CT9" i="9"/>
  <c r="CS9" i="9"/>
  <c r="CR9" i="9"/>
  <c r="CQ9" i="9"/>
  <c r="CP9" i="9"/>
  <c r="CO9" i="9"/>
  <c r="CN9" i="9"/>
  <c r="CM9" i="9"/>
  <c r="CL9" i="9"/>
  <c r="CK9" i="9"/>
  <c r="CJ9" i="9"/>
  <c r="CI9" i="9"/>
  <c r="CH9" i="9"/>
  <c r="CG9" i="9"/>
  <c r="CF9" i="9"/>
  <c r="CE9" i="9"/>
  <c r="CD9" i="9"/>
  <c r="CC9" i="9"/>
  <c r="CB9" i="9"/>
  <c r="CA9" i="9"/>
  <c r="BZ9" i="9"/>
  <c r="BY9" i="9"/>
  <c r="BX9" i="9"/>
  <c r="BW9" i="9"/>
  <c r="BV9" i="9"/>
  <c r="BU9" i="9"/>
  <c r="BT9" i="9"/>
  <c r="BS9" i="9"/>
  <c r="BR9" i="9"/>
  <c r="BQ9" i="9"/>
  <c r="BP9" i="9"/>
  <c r="BO9" i="9"/>
  <c r="BN9" i="9"/>
  <c r="BM9" i="9"/>
  <c r="BL9" i="9"/>
  <c r="BK9" i="9"/>
  <c r="BJ9" i="9"/>
  <c r="BI9" i="9"/>
  <c r="BH9" i="9"/>
  <c r="BG9" i="9"/>
  <c r="BF9" i="9"/>
  <c r="BE9" i="9"/>
  <c r="BD9" i="9"/>
  <c r="BC9" i="9"/>
  <c r="BB9" i="9"/>
  <c r="BA9" i="9"/>
  <c r="AZ9" i="9"/>
  <c r="AY9" i="9"/>
  <c r="AX9" i="9"/>
  <c r="CW8" i="9"/>
  <c r="CV8" i="9"/>
  <c r="CU8" i="9"/>
  <c r="CT8" i="9"/>
  <c r="CS8" i="9"/>
  <c r="CR8" i="9"/>
  <c r="CQ8" i="9"/>
  <c r="CP8" i="9"/>
  <c r="CO8" i="9"/>
  <c r="CN8" i="9"/>
  <c r="CM8" i="9"/>
  <c r="CL8" i="9"/>
  <c r="CK8" i="9"/>
  <c r="CJ8" i="9"/>
  <c r="CI8" i="9"/>
  <c r="CH8" i="9"/>
  <c r="CG8" i="9"/>
  <c r="CF8" i="9"/>
  <c r="CE8" i="9"/>
  <c r="CD8" i="9"/>
  <c r="CC8" i="9"/>
  <c r="CB8" i="9"/>
  <c r="CA8" i="9"/>
  <c r="BZ8" i="9"/>
  <c r="BY8" i="9"/>
  <c r="BX8" i="9"/>
  <c r="BW8" i="9"/>
  <c r="BV8" i="9"/>
  <c r="BU8" i="9"/>
  <c r="BT8" i="9"/>
  <c r="BS8" i="9"/>
  <c r="BR8" i="9"/>
  <c r="BQ8" i="9"/>
  <c r="BP8" i="9"/>
  <c r="BO8" i="9"/>
  <c r="BN8" i="9"/>
  <c r="BM8" i="9"/>
  <c r="BL8" i="9"/>
  <c r="BK8" i="9"/>
  <c r="BJ8" i="9"/>
  <c r="BI8" i="9"/>
  <c r="BH8" i="9"/>
  <c r="BG8" i="9"/>
  <c r="BF8" i="9"/>
  <c r="BE8" i="9"/>
  <c r="BD8" i="9"/>
  <c r="BC8" i="9"/>
  <c r="BB8" i="9"/>
  <c r="BA8" i="9"/>
  <c r="AZ8" i="9"/>
  <c r="AY8" i="9"/>
  <c r="AX8" i="9"/>
  <c r="CW7" i="9"/>
  <c r="CV7" i="9"/>
  <c r="CU7" i="9"/>
  <c r="CT7" i="9"/>
  <c r="CS7" i="9"/>
  <c r="CR7" i="9"/>
  <c r="CQ7" i="9"/>
  <c r="CP7" i="9"/>
  <c r="CO7" i="9"/>
  <c r="CN7" i="9"/>
  <c r="CM7" i="9"/>
  <c r="CL7" i="9"/>
  <c r="CK7" i="9"/>
  <c r="CJ7" i="9"/>
  <c r="CI7" i="9"/>
  <c r="CH7" i="9"/>
  <c r="CG7" i="9"/>
  <c r="CF7" i="9"/>
  <c r="CE7" i="9"/>
  <c r="CD7" i="9"/>
  <c r="CC7" i="9"/>
  <c r="CB7" i="9"/>
  <c r="CA7" i="9"/>
  <c r="BZ7" i="9"/>
  <c r="BY7" i="9"/>
  <c r="BX7" i="9"/>
  <c r="BW7" i="9"/>
  <c r="BV7" i="9"/>
  <c r="BU7" i="9"/>
  <c r="BT7" i="9"/>
  <c r="BS7" i="9"/>
  <c r="BR7" i="9"/>
  <c r="BQ7" i="9"/>
  <c r="BP7" i="9"/>
  <c r="BO7" i="9"/>
  <c r="BN7" i="9"/>
  <c r="BM7" i="9"/>
  <c r="BL7" i="9"/>
  <c r="BK7" i="9"/>
  <c r="BJ7" i="9"/>
  <c r="BI7" i="9"/>
  <c r="BH7" i="9"/>
  <c r="BG7" i="9"/>
  <c r="BF7" i="9"/>
  <c r="BE7" i="9"/>
  <c r="BD7" i="9"/>
  <c r="BC7" i="9"/>
  <c r="BB7" i="9"/>
  <c r="BA7" i="9"/>
  <c r="AZ7" i="9"/>
  <c r="AY7" i="9"/>
  <c r="AX7" i="9"/>
  <c r="C31" i="15"/>
  <c r="L32" i="4"/>
  <c r="K32" i="4"/>
  <c r="J32" i="4"/>
  <c r="I32" i="4"/>
  <c r="H32" i="4"/>
  <c r="G32" i="4"/>
  <c r="F32" i="4"/>
  <c r="CW6" i="9"/>
  <c r="CV6" i="9"/>
  <c r="CU6" i="9"/>
  <c r="CT6" i="9"/>
  <c r="CS6" i="9"/>
  <c r="CR6" i="9"/>
  <c r="CQ6" i="9"/>
  <c r="CP6" i="9"/>
  <c r="CO6" i="9"/>
  <c r="CN6" i="9"/>
  <c r="CM6" i="9"/>
  <c r="CL6" i="9"/>
  <c r="CK6" i="9"/>
  <c r="CJ6" i="9"/>
  <c r="CI6" i="9"/>
  <c r="CH6" i="9"/>
  <c r="CG6" i="9"/>
  <c r="CF6" i="9"/>
  <c r="CE6" i="9"/>
  <c r="CD6" i="9"/>
  <c r="CC6" i="9"/>
  <c r="CB6" i="9"/>
  <c r="CA6" i="9"/>
  <c r="BZ6" i="9"/>
  <c r="BY6" i="9"/>
  <c r="BX6" i="9"/>
  <c r="BW6" i="9"/>
  <c r="BV6" i="9"/>
  <c r="BU6" i="9"/>
  <c r="BT6" i="9"/>
  <c r="BS6" i="9"/>
  <c r="BR6" i="9"/>
  <c r="BQ6" i="9"/>
  <c r="BP6" i="9"/>
  <c r="BO6" i="9"/>
  <c r="BN6" i="9"/>
  <c r="BM6" i="9"/>
  <c r="BL6" i="9"/>
  <c r="BK6" i="9"/>
  <c r="BJ6" i="9"/>
  <c r="BI6" i="9"/>
  <c r="BH6" i="9"/>
  <c r="BG6" i="9"/>
  <c r="BF6" i="9"/>
  <c r="BE6" i="9"/>
  <c r="BD6" i="9"/>
  <c r="BC6" i="9"/>
  <c r="BB6" i="9"/>
  <c r="BA6" i="9"/>
  <c r="AZ6" i="9"/>
  <c r="AY6" i="9"/>
  <c r="AX6" i="9"/>
  <c r="B24" i="15"/>
  <c r="B16" i="15"/>
</calcChain>
</file>

<file path=xl/sharedStrings.xml><?xml version="1.0" encoding="utf-8"?>
<sst xmlns="http://schemas.openxmlformats.org/spreadsheetml/2006/main" count="523" uniqueCount="256">
  <si>
    <t>Income</t>
  </si>
  <si>
    <t xml:space="preserve">   Unapplied Cash Payment Income</t>
  </si>
  <si>
    <t>Total Income</t>
  </si>
  <si>
    <t>Cost of Goods Sold</t>
  </si>
  <si>
    <t>Total Cost of Goods Sold</t>
  </si>
  <si>
    <t>Gross Profit</t>
  </si>
  <si>
    <t>Expenses</t>
  </si>
  <si>
    <t xml:space="preserve">   Unapplied Cash Bill Payment Expense</t>
  </si>
  <si>
    <t>Total Expenses</t>
  </si>
  <si>
    <t>Net Operating Income</t>
  </si>
  <si>
    <t>Other Expenses</t>
  </si>
  <si>
    <t>Total Other Expenses</t>
  </si>
  <si>
    <t>Net Other Income</t>
  </si>
  <si>
    <t>Net Income</t>
  </si>
  <si>
    <t>Profit and Loss</t>
  </si>
  <si>
    <t>Person</t>
  </si>
  <si>
    <t>Salary</t>
  </si>
  <si>
    <t>Start Date</t>
  </si>
  <si>
    <t>Position</t>
  </si>
  <si>
    <t>CEO</t>
  </si>
  <si>
    <t>COO</t>
  </si>
  <si>
    <t>CTO</t>
  </si>
  <si>
    <t>Payroll Taxes</t>
  </si>
  <si>
    <t>Gross Payroll</t>
  </si>
  <si>
    <t>TBD #2</t>
  </si>
  <si>
    <t>TBD #3</t>
  </si>
  <si>
    <t xml:space="preserve">   Service Revenues</t>
  </si>
  <si>
    <t xml:space="preserve">   Total Service Revenues</t>
  </si>
  <si>
    <t xml:space="preserve">   SaaS Revenues</t>
  </si>
  <si>
    <t xml:space="preserve">   Total SaaS Revenues</t>
  </si>
  <si>
    <t xml:space="preserve">   Cost of Goods Sold</t>
  </si>
  <si>
    <t xml:space="preserve">      Service COGS</t>
  </si>
  <si>
    <t xml:space="preserve">      Total Service COGS</t>
  </si>
  <si>
    <t xml:space="preserve">   Total Cost of Goods Sold</t>
  </si>
  <si>
    <t>Current Cash Balance Bank</t>
  </si>
  <si>
    <t>Credit Card Balance</t>
  </si>
  <si>
    <t>Available Credit</t>
  </si>
  <si>
    <t>Total Available Cash &amp; Credit</t>
  </si>
  <si>
    <t>Week ending</t>
  </si>
  <si>
    <t>Accounts Receivable</t>
  </si>
  <si>
    <t>AR Payments</t>
  </si>
  <si>
    <t>Payroll Expense</t>
  </si>
  <si>
    <t>Health Insurance</t>
  </si>
  <si>
    <t>Accounts Payable</t>
  </si>
  <si>
    <t>A/P</t>
  </si>
  <si>
    <t>AP</t>
  </si>
  <si>
    <t>Operating Expenses</t>
  </si>
  <si>
    <t>Travel</t>
  </si>
  <si>
    <t>A/P Aging Detail</t>
  </si>
  <si>
    <t>Date</t>
  </si>
  <si>
    <t>Transaction Type</t>
  </si>
  <si>
    <t>Num</t>
  </si>
  <si>
    <t>Vendor</t>
  </si>
  <si>
    <t>Due Date</t>
  </si>
  <si>
    <t>Past Due</t>
  </si>
  <si>
    <t>Open Balance</t>
  </si>
  <si>
    <t>Expected Payment Date</t>
  </si>
  <si>
    <t>91 or more days past due</t>
  </si>
  <si>
    <t>Bill</t>
  </si>
  <si>
    <t>Total for 91 or more days past due</t>
  </si>
  <si>
    <t>TBD #4</t>
  </si>
  <si>
    <t>Y</t>
  </si>
  <si>
    <t>Pipeline Included? (Y or N)</t>
  </si>
  <si>
    <t>Amount</t>
  </si>
  <si>
    <t>N</t>
  </si>
  <si>
    <t>Travel &amp; Entertainment Budget</t>
  </si>
  <si>
    <t>Domestic Travel Inputs</t>
  </si>
  <si>
    <t>Flight</t>
  </si>
  <si>
    <t>Hotel</t>
  </si>
  <si>
    <t># of Days</t>
  </si>
  <si>
    <t>Rental Car</t>
  </si>
  <si>
    <t>Per Diem</t>
  </si>
  <si>
    <t>Hotel/night</t>
  </si>
  <si>
    <t>Rental Car/day</t>
  </si>
  <si>
    <t>Total Cost Domestic Travel/Trip</t>
  </si>
  <si>
    <t>International Travel Inputs</t>
  </si>
  <si>
    <t>Domestic Travel/Month</t>
  </si>
  <si>
    <t>International Travel/Month</t>
  </si>
  <si>
    <t>Flights</t>
  </si>
  <si>
    <t>Current</t>
  </si>
  <si>
    <t>Total for Current</t>
  </si>
  <si>
    <t xml:space="preserve">   62400 Depreciation Expense</t>
  </si>
  <si>
    <t xml:space="preserve">   63400 Interest Expense</t>
  </si>
  <si>
    <t xml:space="preserve">   6-1000 Operating Expenses</t>
  </si>
  <si>
    <t xml:space="preserve">      6-1030 Business Licenses and Permits</t>
  </si>
  <si>
    <t xml:space="preserve">      6-1040 Computer and Internet Expenses</t>
  </si>
  <si>
    <t xml:space="preserve">      6-1050 Insurance Expense</t>
  </si>
  <si>
    <t xml:space="preserve">         6-1051 General Liability Insurance</t>
  </si>
  <si>
    <t xml:space="preserve">         6-1052 Executive Risk</t>
  </si>
  <si>
    <t xml:space="preserve">      Total 6-1050 Insurance Expense</t>
  </si>
  <si>
    <t xml:space="preserve">      6-1060 Meals and Entertainment</t>
  </si>
  <si>
    <t xml:space="preserve">      6-1070 Office Supplies</t>
  </si>
  <si>
    <t xml:space="preserve">      6-1080 Professional Fees</t>
  </si>
  <si>
    <t xml:space="preserve">         6-1081 Legal</t>
  </si>
  <si>
    <t xml:space="preserve">         6-1082 Janitorial</t>
  </si>
  <si>
    <t xml:space="preserve">         6-1083 Accounting</t>
  </si>
  <si>
    <t xml:space="preserve">      Total 6-1080 Professional Fees</t>
  </si>
  <si>
    <t xml:space="preserve">      6-1090 Utilities</t>
  </si>
  <si>
    <t xml:space="preserve">      6-1100 Bank Service Charges</t>
  </si>
  <si>
    <t xml:space="preserve">      6-1110 Continuing Education</t>
  </si>
  <si>
    <t xml:space="preserve">      6-1120 Dues and Subscriptions</t>
  </si>
  <si>
    <t xml:space="preserve">      6-1150 Postage and Delivery</t>
  </si>
  <si>
    <t xml:space="preserve">      6-1160 Rent Expense</t>
  </si>
  <si>
    <t xml:space="preserve">      6-1180 Telephone Expense</t>
  </si>
  <si>
    <t xml:space="preserve">      6-1190 Franchise Taxes</t>
  </si>
  <si>
    <t xml:space="preserve">      6-1200 Travel Expense</t>
  </si>
  <si>
    <t xml:space="preserve">         6-1201 Taxi</t>
  </si>
  <si>
    <t xml:space="preserve">         6-1202 Airfare</t>
  </si>
  <si>
    <t xml:space="preserve">         6-1203 Hotel</t>
  </si>
  <si>
    <t xml:space="preserve">         6-1204 Meals</t>
  </si>
  <si>
    <t xml:space="preserve">         6-1206 Rental Car</t>
  </si>
  <si>
    <t xml:space="preserve">         6-1207 Other Transportation</t>
  </si>
  <si>
    <t xml:space="preserve">      Total 6-1200 Travel Expense</t>
  </si>
  <si>
    <t xml:space="preserve">   Total 6-1000 Operating Expenses</t>
  </si>
  <si>
    <t xml:space="preserve">   6-4000 Engineering</t>
  </si>
  <si>
    <t xml:space="preserve">      6-4010 Platform Development</t>
  </si>
  <si>
    <t xml:space="preserve">         6-4011 Platform Contractors</t>
  </si>
  <si>
    <t xml:space="preserve">      Total 6-4010 Platform Development</t>
  </si>
  <si>
    <t xml:space="preserve">   Total 6-4000 Engineering</t>
  </si>
  <si>
    <t xml:space="preserve">   6-6000 Payroll Expenses</t>
  </si>
  <si>
    <t xml:space="preserve">      6-6010 Salaries and Wages</t>
  </si>
  <si>
    <t xml:space="preserve">      6-6040 Federal 941 Taxes</t>
  </si>
  <si>
    <t xml:space="preserve">      6-6070 Employee Benefits</t>
  </si>
  <si>
    <t xml:space="preserve">      6-6080 Worker's Compensation</t>
  </si>
  <si>
    <t xml:space="preserve">      6-6090 Payroll Processing</t>
  </si>
  <si>
    <t xml:space="preserve">   Total 6-6000 Payroll Expenses</t>
  </si>
  <si>
    <t>George</t>
  </si>
  <si>
    <t>Payroll</t>
  </si>
  <si>
    <t>TOTAL</t>
  </si>
  <si>
    <t>1 - 30 days past due</t>
  </si>
  <si>
    <t>Total for 1 - 30 days past due</t>
  </si>
  <si>
    <t>05/31/2016</t>
  </si>
  <si>
    <t>201605IS001</t>
  </si>
  <si>
    <t>201605IS002</t>
  </si>
  <si>
    <t>06/30/2016</t>
  </si>
  <si>
    <t>05/06/2016</t>
  </si>
  <si>
    <t>05/26/2016</t>
  </si>
  <si>
    <t xml:space="preserve">      6-1260 Bad Debt</t>
  </si>
  <si>
    <t>Cash Balance (Week Ending)</t>
  </si>
  <si>
    <t>Headcount</t>
  </si>
  <si>
    <t>61 - 90 days past due</t>
  </si>
  <si>
    <t>Total for 61 - 90 days past due</t>
  </si>
  <si>
    <t>201606IS003</t>
  </si>
  <si>
    <t>L1707331072</t>
  </si>
  <si>
    <t>07/26/2016</t>
  </si>
  <si>
    <t>08/25/2016</t>
  </si>
  <si>
    <t>08/03/2016</t>
  </si>
  <si>
    <t>09/16/2016</t>
  </si>
  <si>
    <t>08/31/2016</t>
  </si>
  <si>
    <t>09/30/2016</t>
  </si>
  <si>
    <t>As of September 9, 2016</t>
  </si>
  <si>
    <t>Friday, Sep 09, 2016 09:44:16 AM GMT-7</t>
  </si>
  <si>
    <t>Employee 2</t>
  </si>
  <si>
    <t>Employee 4</t>
  </si>
  <si>
    <t>Employee 5</t>
  </si>
  <si>
    <t>Employee 1</t>
  </si>
  <si>
    <t>Employee 6</t>
  </si>
  <si>
    <t>Note Repayment</t>
  </si>
  <si>
    <t>CC Balance</t>
  </si>
  <si>
    <t>Client 1</t>
  </si>
  <si>
    <t>Client 2</t>
  </si>
  <si>
    <t>Client 3</t>
  </si>
  <si>
    <t>Client 4</t>
  </si>
  <si>
    <t>Client 5</t>
  </si>
  <si>
    <t>Client 6</t>
  </si>
  <si>
    <t>Income Source 1</t>
  </si>
  <si>
    <t>Income Source 2</t>
  </si>
  <si>
    <t>Investment 1 (Enter + Amount)</t>
  </si>
  <si>
    <t>Investment 2 (Enter + Amount)</t>
  </si>
  <si>
    <t>Link to CC Balance (Cell B2)</t>
  </si>
  <si>
    <t>Income Source 1 - Pipeline</t>
  </si>
  <si>
    <t>TBD</t>
  </si>
  <si>
    <t>Forecasted on 'T&amp;E Budget' tab</t>
  </si>
  <si>
    <t>Employee 3</t>
  </si>
  <si>
    <t>Employee 7</t>
  </si>
  <si>
    <t>Employee 8</t>
  </si>
  <si>
    <t>Employee 9</t>
  </si>
  <si>
    <t>Sales 1</t>
  </si>
  <si>
    <t>Sales 2</t>
  </si>
  <si>
    <t>Sales 3</t>
  </si>
  <si>
    <t>Sales 4</t>
  </si>
  <si>
    <t>Sales 5</t>
  </si>
  <si>
    <t>Sales 6</t>
  </si>
  <si>
    <t>Sales 7</t>
  </si>
  <si>
    <t>Development</t>
  </si>
  <si>
    <t>Customer Service</t>
  </si>
  <si>
    <t>Admin</t>
  </si>
  <si>
    <t>Number of People taking Trips</t>
  </si>
  <si>
    <t>Adjust on Headcount Tab</t>
  </si>
  <si>
    <t>Timing on AP Aging Detail Tab</t>
  </si>
  <si>
    <t>Hardcoded</t>
  </si>
  <si>
    <t>Forecasted @ 13% of Payroll</t>
  </si>
  <si>
    <t>Formula &gt;&gt;&gt;</t>
  </si>
  <si>
    <t>PL - Client 1</t>
  </si>
  <si>
    <t>PL - Client 2</t>
  </si>
  <si>
    <t>Company P&amp;L by Week - Cash Reporting</t>
  </si>
  <si>
    <t>Pull a report over the period of the previous 12 weeks to get the averages and timing of payments</t>
  </si>
  <si>
    <t>SaaS Revenue 1</t>
  </si>
  <si>
    <t>SaaS Revenue 2</t>
  </si>
  <si>
    <t>SaaS Revenue 3</t>
  </si>
  <si>
    <t>Service Revenue 1</t>
  </si>
  <si>
    <t>Service Revenue 2</t>
  </si>
  <si>
    <t>Service Revenue 3</t>
  </si>
  <si>
    <t>COGS Revenue Line 1</t>
  </si>
  <si>
    <t>COGS Revenue Line 2</t>
  </si>
  <si>
    <t>COGS Revenue Line 3</t>
  </si>
  <si>
    <t xml:space="preserve">      6-6041 State Taxes</t>
  </si>
  <si>
    <t>Monday, Sep 12, 2016 02:15:19 PM GMT-7 - Cash Basis</t>
  </si>
  <si>
    <t>Trailing Twelve Weeks Average</t>
  </si>
  <si>
    <t>Forecasted on Headcount Budget tab</t>
  </si>
  <si>
    <t>Forecasted on T&amp;E Budget Tab</t>
  </si>
  <si>
    <r>
      <rPr>
        <b/>
        <sz val="11"/>
        <color indexed="8"/>
        <rFont val="Calibri"/>
        <family val="2"/>
        <scheme val="minor"/>
      </rPr>
      <t>Rent - renting space is very expensive, and buying it even more so.</t>
    </r>
    <r>
      <rPr>
        <sz val="11"/>
        <color indexed="8"/>
        <rFont val="Calibri"/>
        <family val="2"/>
        <scheme val="minor"/>
      </rPr>
      <t xml:space="preserve"> How will you pay rent - prepaid, or monthly?</t>
    </r>
  </si>
  <si>
    <r>
      <t xml:space="preserve">Dues &amp; Subscriptions - </t>
    </r>
    <r>
      <rPr>
        <sz val="11"/>
        <color indexed="8"/>
        <rFont val="Calibri"/>
        <family val="2"/>
        <scheme val="minor"/>
      </rPr>
      <t>What are your reoccuring expenses? What do you need to run your business and when do you make the automatic payments?</t>
    </r>
  </si>
  <si>
    <t>Depreciation is a non-cash Expense - no need to forecast</t>
  </si>
  <si>
    <t>Interest expenses can be accured or real - figure out how you pay interest</t>
  </si>
  <si>
    <t>The key to getting your expenses accurately forecasted is to continually ask many questions. Ask as many questions as you can think of while looking at your P&amp;L - once you run out of questions then think of more, and be sure you can answer every one of them</t>
  </si>
  <si>
    <t>P&amp;L FORECAST</t>
  </si>
  <si>
    <t>LINKED TO "P&amp;L BY WEEK ACTUALS" TAB</t>
  </si>
  <si>
    <t>FORECAST</t>
  </si>
  <si>
    <t xml:space="preserve">Sales tax accounts will be set up in various cities over the next 3 weeks to prepare for Q3 filings </t>
  </si>
  <si>
    <t>Week 1</t>
  </si>
  <si>
    <t>Week 2</t>
  </si>
  <si>
    <t>Week 3</t>
  </si>
  <si>
    <t>Week 4</t>
  </si>
  <si>
    <t>Computer and internet expenses paid the second week of the month</t>
  </si>
  <si>
    <t>GL Insurance is paid at the end of the month</t>
  </si>
  <si>
    <r>
      <t xml:space="preserve">Executive Risk inurance was </t>
    </r>
    <r>
      <rPr>
        <b/>
        <sz val="11"/>
        <color indexed="8"/>
        <rFont val="Calibri"/>
        <family val="2"/>
        <scheme val="minor"/>
      </rPr>
      <t>prepaid - it is accrued on the P&amp;L but no cash is paid out monthly</t>
    </r>
  </si>
  <si>
    <t>Meals &amp; Entertainment will be averaged @ $150/week</t>
  </si>
  <si>
    <t>Office Supplies at $250/Week</t>
  </si>
  <si>
    <t>There is $2,500 in legal bills outstanding which will be paid over the next 3 months</t>
  </si>
  <si>
    <t>Janitor is paid at the end of the month $160</t>
  </si>
  <si>
    <t>Outsourced accounting ~$2,000/month - payable 2nd week of the month</t>
  </si>
  <si>
    <t>Utilites run at roughly $300 month - paid at the end of the month</t>
  </si>
  <si>
    <t>Forecast at $20/week</t>
  </si>
  <si>
    <t>$110 for online class paid monthly in the second week</t>
  </si>
  <si>
    <t>Look at individual dues and subscriptions and see the timing and amounts</t>
  </si>
  <si>
    <t>Forecasted at $25/week</t>
  </si>
  <si>
    <t>Rent at $2,601 paid the end of the month</t>
  </si>
  <si>
    <t>Telephone at $80 at the end of the month</t>
  </si>
  <si>
    <t>Forecasted on the T&amp;E Budget tab</t>
  </si>
  <si>
    <t>Pulled the values from the "P&amp;L Forecast by Week", then pasted the values -&gt; P&amp;L Forecast will serve as a reference point that should be updated every couple of months to ensure that no new OpEx costs have sprung up</t>
  </si>
  <si>
    <t>Capital Expenditures - New Computers</t>
  </si>
  <si>
    <t>INPUT</t>
  </si>
  <si>
    <t>Enter all of these as negative values - they sum at the bottom</t>
  </si>
  <si>
    <t>Enter Negative Value</t>
  </si>
  <si>
    <t>Enter + Value</t>
  </si>
  <si>
    <t>Sum of Everything above // If you insert rows make sure that the formula is updated</t>
  </si>
  <si>
    <t>1) Update the Current Bank Balance</t>
  </si>
  <si>
    <t>2) Update the Credit Card Balance</t>
  </si>
  <si>
    <t>3) Update the link every week to update the starting cash balance</t>
  </si>
  <si>
    <t>Make sure you update the formula with your credit limit -&gt;&gt;&gt;</t>
  </si>
  <si>
    <t>NEVER DELETE</t>
  </si>
  <si>
    <t>DELETE THEN UPDATE FORMULA</t>
  </si>
  <si>
    <t>You can delete a "Do Not Delete" row but you must update the formula in Cash Week Ending</t>
  </si>
  <si>
    <t>Enter "Y" or "N"</t>
  </si>
  <si>
    <t>CC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</si>
</sst>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0.00\ _€"/>
    <numFmt numFmtId="165" formatCode="&quot;$&quot;* #,##0.00\ _€"/>
    <numFmt numFmtId="166" formatCode="&quot;$&quot;#,##0"/>
  </numFmts>
  <fonts count="36">
    <font>
      <sz val="11"/>
      <color indexed="8"/>
      <name val="Calibri"/>
      <family val="2"/>
      <scheme val="minor"/>
    </font>
    <font>
      <b/>
      <sz val="9"/>
      <color indexed="8"/>
      <name val="Arial"/>
      <family val="2"/>
    </font>
    <font>
      <b/>
      <sz val="8"/>
      <color indexed="8"/>
      <name val="Arial"/>
      <family val="2"/>
    </font>
    <font>
      <sz val="8"/>
      <color indexed="8"/>
      <name val="Arial"/>
      <family val="2"/>
    </font>
    <font>
      <sz val="11"/>
      <color indexed="8"/>
      <name val="Calibri"/>
      <family val="2"/>
      <scheme val="minor"/>
    </font>
    <font>
      <u/>
      <sz val="11"/>
      <color theme="10"/>
      <name val="Calibri"/>
      <family val="2"/>
      <scheme val="minor"/>
    </font>
    <font>
      <u/>
      <sz val="11"/>
      <color theme="11"/>
      <name val="Calibri"/>
      <family val="2"/>
      <scheme val="minor"/>
    </font>
    <font>
      <sz val="11"/>
      <color theme="0"/>
      <name val="Calibri"/>
      <family val="2"/>
      <scheme val="minor"/>
    </font>
    <font>
      <b/>
      <sz val="11"/>
      <color indexed="8"/>
      <name val="Calibri"/>
      <family val="2"/>
      <scheme val="minor"/>
    </font>
    <font>
      <b/>
      <sz val="14"/>
      <color indexed="8"/>
      <name val="Arial"/>
      <family val="2"/>
    </font>
    <font>
      <b/>
      <sz val="10"/>
      <color indexed="8"/>
      <name val="Arial"/>
      <family val="2"/>
    </font>
    <font>
      <sz val="11"/>
      <color theme="1"/>
      <name val="Calibri"/>
      <family val="2"/>
      <scheme val="minor"/>
    </font>
    <font>
      <sz val="10"/>
      <name val="Arial"/>
      <family val="2"/>
    </font>
    <font>
      <b/>
      <sz val="8"/>
      <color theme="1"/>
      <name val="Arial"/>
      <family val="2"/>
    </font>
    <font>
      <b/>
      <sz val="11"/>
      <color theme="1"/>
      <name val="Calibri"/>
      <family val="2"/>
      <scheme val="minor"/>
    </font>
    <font>
      <b/>
      <sz val="8"/>
      <color rgb="FF323232"/>
      <name val="Arial"/>
      <family val="2"/>
    </font>
    <font>
      <b/>
      <sz val="10"/>
      <color rgb="FF323232"/>
      <name val="Arial"/>
      <family val="2"/>
    </font>
    <font>
      <sz val="8"/>
      <color rgb="FF323232"/>
      <name val="Arial"/>
      <family val="2"/>
    </font>
    <font>
      <sz val="10"/>
      <color rgb="FF323232"/>
      <name val="Arial"/>
      <family val="2"/>
    </font>
    <font>
      <sz val="8"/>
      <name val="Calibri"/>
      <family val="2"/>
      <scheme val="minor"/>
    </font>
    <font>
      <b/>
      <u/>
      <sz val="10"/>
      <color rgb="FF323232"/>
      <name val="Arial"/>
      <family val="2"/>
    </font>
    <font>
      <b/>
      <u/>
      <sz val="10"/>
      <color theme="0"/>
      <name val="Arial"/>
      <family val="2"/>
    </font>
    <font>
      <sz val="11"/>
      <color indexed="8"/>
      <name val="Calibri"/>
      <family val="2"/>
    </font>
    <font>
      <b/>
      <sz val="9"/>
      <color theme="0"/>
      <name val="Arial"/>
      <family val="2"/>
    </font>
    <font>
      <sz val="8"/>
      <color theme="1"/>
      <name val="Calibri"/>
      <family val="2"/>
      <scheme val="minor"/>
    </font>
    <font>
      <sz val="13"/>
      <color indexed="8"/>
      <name val="Arial"/>
      <family val="2"/>
    </font>
    <font>
      <b/>
      <sz val="12"/>
      <color indexed="8"/>
      <name val="Arial"/>
      <family val="2"/>
    </font>
    <font>
      <b/>
      <sz val="15"/>
      <color indexed="8"/>
      <name val="Calibri"/>
      <family val="2"/>
      <scheme val="minor"/>
    </font>
    <font>
      <b/>
      <sz val="8"/>
      <color theme="0"/>
      <name val="Arial"/>
      <family val="2"/>
    </font>
    <font>
      <sz val="8"/>
      <color theme="0"/>
      <name val="Arial"/>
      <family val="2"/>
    </font>
    <font>
      <sz val="20"/>
      <color indexed="8"/>
      <name val="Calibri"/>
      <family val="2"/>
      <scheme val="minor"/>
    </font>
    <font>
      <b/>
      <sz val="14"/>
      <color theme="0"/>
      <name val="Arial"/>
      <family val="2"/>
    </font>
    <font>
      <b/>
      <sz val="10"/>
      <color theme="0"/>
      <name val="Arial"/>
      <family val="2"/>
    </font>
    <font>
      <sz val="11"/>
      <color rgb="FFFF0000"/>
      <name val="Calibri"/>
      <family val="2"/>
      <scheme val="minor"/>
    </font>
    <font>
      <sz val="11"/>
      <color rgb="FFFF171B"/>
      <name val="Calibri"/>
      <family val="2"/>
      <scheme val="minor"/>
    </font>
    <font>
      <b/>
      <sz val="11"/>
      <color rgb="FFFF171B"/>
      <name val="Calibri"/>
      <family val="2"/>
      <scheme val="minor"/>
    </font>
  </fonts>
  <fills count="17">
    <fill>
      <patternFill patternType="none"/>
    </fill>
    <fill>
      <patternFill patternType="gray125"/>
    </fill>
    <fill>
      <patternFill patternType="solid">
        <fgColor theme="6" tint="0.79998168889431442"/>
        <bgColor indexed="64"/>
      </patternFill>
    </fill>
    <fill>
      <patternFill patternType="solid">
        <fgColor rgb="FFCCFFC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3366FF"/>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
      <patternFill patternType="solid">
        <fgColor rgb="FFFBFDA4"/>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39997558519241921"/>
        <bgColor indexed="64"/>
      </patternFill>
    </fill>
  </fills>
  <borders count="16">
    <border>
      <left/>
      <right/>
      <top/>
      <bottom/>
      <diagonal/>
    </border>
    <border>
      <left/>
      <right/>
      <top/>
      <bottom style="thin">
        <color auto="1"/>
      </bottom>
      <diagonal/>
    </border>
    <border>
      <left/>
      <right/>
      <top style="thin">
        <color auto="1"/>
      </top>
      <bottom/>
      <diagonal/>
    </border>
    <border>
      <left style="medium">
        <color auto="1"/>
      </left>
      <right/>
      <top/>
      <bottom/>
      <diagonal/>
    </border>
    <border>
      <left/>
      <right/>
      <top style="thin">
        <color auto="1"/>
      </top>
      <bottom style="thin">
        <color auto="1"/>
      </bottom>
      <diagonal/>
    </border>
    <border>
      <left/>
      <right/>
      <top style="thin">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bottom style="medium">
        <color auto="1"/>
      </bottom>
      <diagonal/>
    </border>
    <border>
      <left/>
      <right style="thin">
        <color auto="1"/>
      </right>
      <top/>
      <bottom/>
      <diagonal/>
    </border>
  </borders>
  <cellStyleXfs count="356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11" fillId="0" borderId="0"/>
    <xf numFmtId="0" fontId="12" fillId="0" borderId="0"/>
    <xf numFmtId="0" fontId="5" fillId="0" borderId="0" applyNumberFormat="0" applyFill="0" applyBorder="0" applyAlignment="0" applyProtection="0"/>
    <xf numFmtId="0" fontId="6" fillId="0" borderId="0" applyNumberForma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97">
    <xf numFmtId="0" fontId="0" fillId="0" borderId="0" xfId="0"/>
    <xf numFmtId="0" fontId="0" fillId="0" borderId="0" xfId="0" applyAlignment="1">
      <alignment wrapText="1"/>
    </xf>
    <xf numFmtId="0" fontId="1" fillId="0" borderId="1" xfId="0" applyFont="1" applyBorder="1" applyAlignment="1">
      <alignment horizontal="center" wrapText="1"/>
    </xf>
    <xf numFmtId="164" fontId="3" fillId="0" borderId="0" xfId="0" applyNumberFormat="1" applyFont="1" applyAlignment="1">
      <alignment wrapText="1"/>
    </xf>
    <xf numFmtId="164" fontId="3" fillId="0" borderId="0" xfId="0" applyNumberFormat="1" applyFont="1" applyAlignment="1">
      <alignment horizontal="right" wrapText="1"/>
    </xf>
    <xf numFmtId="165" fontId="2" fillId="0" borderId="2" xfId="0" applyNumberFormat="1" applyFont="1" applyBorder="1" applyAlignment="1">
      <alignment horizontal="right" wrapText="1"/>
    </xf>
    <xf numFmtId="164" fontId="3" fillId="2" borderId="0" xfId="0" applyNumberFormat="1" applyFont="1" applyFill="1" applyAlignment="1">
      <alignment wrapText="1"/>
    </xf>
    <xf numFmtId="164" fontId="3" fillId="2" borderId="0" xfId="0" applyNumberFormat="1" applyFont="1" applyFill="1" applyAlignment="1">
      <alignment horizontal="right" wrapText="1"/>
    </xf>
    <xf numFmtId="165" fontId="2" fillId="2" borderId="2" xfId="0" applyNumberFormat="1" applyFont="1" applyFill="1" applyBorder="1" applyAlignment="1">
      <alignment horizontal="right" wrapText="1"/>
    </xf>
    <xf numFmtId="14" fontId="0" fillId="0" borderId="0" xfId="0" applyNumberFormat="1"/>
    <xf numFmtId="3" fontId="0" fillId="0" borderId="0" xfId="0" applyNumberFormat="1"/>
    <xf numFmtId="3" fontId="0" fillId="0" borderId="4" xfId="0" applyNumberFormat="1" applyBorder="1"/>
    <xf numFmtId="38" fontId="0" fillId="0" borderId="0" xfId="0" applyNumberFormat="1"/>
    <xf numFmtId="0" fontId="11" fillId="0" borderId="0" xfId="338"/>
    <xf numFmtId="8" fontId="11" fillId="0" borderId="0" xfId="338" applyNumberFormat="1"/>
    <xf numFmtId="0" fontId="14" fillId="0" borderId="5" xfId="338" applyFont="1" applyBorder="1"/>
    <xf numFmtId="8" fontId="14" fillId="0" borderId="5" xfId="338" applyNumberFormat="1" applyFont="1" applyBorder="1"/>
    <xf numFmtId="6" fontId="11" fillId="0" borderId="0" xfId="338" applyNumberFormat="1"/>
    <xf numFmtId="49" fontId="15" fillId="0" borderId="6" xfId="338" applyNumberFormat="1" applyFont="1" applyBorder="1"/>
    <xf numFmtId="14" fontId="15" fillId="0" borderId="7" xfId="338" applyNumberFormat="1" applyFont="1" applyFill="1" applyBorder="1"/>
    <xf numFmtId="0" fontId="11" fillId="0" borderId="7" xfId="338" applyBorder="1"/>
    <xf numFmtId="49" fontId="16" fillId="2" borderId="8" xfId="338" applyNumberFormat="1" applyFont="1" applyFill="1" applyBorder="1"/>
    <xf numFmtId="49" fontId="15" fillId="0" borderId="0" xfId="338" applyNumberFormat="1" applyFont="1" applyBorder="1"/>
    <xf numFmtId="14" fontId="15" fillId="0" borderId="0" xfId="338" applyNumberFormat="1" applyFont="1" applyFill="1" applyBorder="1"/>
    <xf numFmtId="0" fontId="11" fillId="0" borderId="0" xfId="338" applyBorder="1"/>
    <xf numFmtId="49" fontId="15" fillId="0" borderId="0" xfId="338" applyNumberFormat="1" applyFont="1" applyFill="1" applyBorder="1"/>
    <xf numFmtId="0" fontId="11" fillId="0" borderId="0" xfId="338" applyFill="1" applyBorder="1"/>
    <xf numFmtId="49" fontId="15" fillId="0" borderId="10" xfId="338" applyNumberFormat="1" applyFont="1" applyBorder="1" applyAlignment="1">
      <alignment horizontal="left" indent="1"/>
    </xf>
    <xf numFmtId="49" fontId="15" fillId="2" borderId="6" xfId="338" applyNumberFormat="1" applyFont="1" applyFill="1" applyBorder="1"/>
    <xf numFmtId="166" fontId="14" fillId="2" borderId="7" xfId="338" applyNumberFormat="1" applyFont="1" applyFill="1" applyBorder="1"/>
    <xf numFmtId="166" fontId="14" fillId="0" borderId="0" xfId="338" applyNumberFormat="1" applyFont="1" applyBorder="1"/>
    <xf numFmtId="49" fontId="16" fillId="4" borderId="8" xfId="338" applyNumberFormat="1" applyFont="1" applyFill="1" applyBorder="1"/>
    <xf numFmtId="0" fontId="11" fillId="0" borderId="1" xfId="338" applyBorder="1"/>
    <xf numFmtId="49" fontId="15" fillId="0" borderId="3" xfId="338" applyNumberFormat="1" applyFont="1" applyBorder="1" applyAlignment="1">
      <alignment horizontal="left" indent="1"/>
    </xf>
    <xf numFmtId="49" fontId="15" fillId="4" borderId="6" xfId="338" applyNumberFormat="1" applyFont="1" applyFill="1" applyBorder="1"/>
    <xf numFmtId="0" fontId="14" fillId="4" borderId="7" xfId="338" applyFont="1" applyFill="1" applyBorder="1"/>
    <xf numFmtId="0" fontId="11" fillId="4" borderId="7" xfId="338" applyFill="1" applyBorder="1"/>
    <xf numFmtId="49" fontId="15" fillId="0" borderId="9" xfId="338" applyNumberFormat="1" applyFont="1" applyBorder="1"/>
    <xf numFmtId="49" fontId="13" fillId="0" borderId="10" xfId="338" applyNumberFormat="1" applyFont="1" applyBorder="1"/>
    <xf numFmtId="49" fontId="17" fillId="0" borderId="0" xfId="338" applyNumberFormat="1" applyFont="1" applyFill="1" applyBorder="1"/>
    <xf numFmtId="49" fontId="16" fillId="5" borderId="12" xfId="338" applyNumberFormat="1" applyFont="1" applyFill="1" applyBorder="1"/>
    <xf numFmtId="166" fontId="14" fillId="5" borderId="4" xfId="338" applyNumberFormat="1" applyFont="1" applyFill="1" applyBorder="1"/>
    <xf numFmtId="49" fontId="18" fillId="4" borderId="0" xfId="338" applyNumberFormat="1" applyFont="1" applyFill="1" applyBorder="1" applyAlignment="1">
      <alignment horizontal="right"/>
    </xf>
    <xf numFmtId="0" fontId="11" fillId="4" borderId="0" xfId="338" applyFont="1" applyFill="1" applyBorder="1"/>
    <xf numFmtId="8" fontId="11" fillId="4" borderId="0" xfId="338" applyNumberFormat="1" applyFont="1" applyFill="1" applyBorder="1"/>
    <xf numFmtId="49" fontId="15" fillId="0" borderId="0" xfId="338" applyNumberFormat="1" applyFont="1"/>
    <xf numFmtId="0" fontId="14" fillId="0" borderId="0" xfId="338" applyFont="1"/>
    <xf numFmtId="6" fontId="11" fillId="0" borderId="7" xfId="338" applyNumberFormat="1" applyBorder="1"/>
    <xf numFmtId="0" fontId="1" fillId="0" borderId="0" xfId="338" applyFont="1" applyFill="1" applyBorder="1" applyAlignment="1">
      <alignment horizontal="center" wrapText="1"/>
    </xf>
    <xf numFmtId="166" fontId="11" fillId="0" borderId="0" xfId="338" applyNumberFormat="1" applyFill="1"/>
    <xf numFmtId="14" fontId="11" fillId="0" borderId="0" xfId="338" applyNumberFormat="1" applyFill="1"/>
    <xf numFmtId="164" fontId="11" fillId="0" borderId="0" xfId="338" applyNumberFormat="1" applyFill="1"/>
    <xf numFmtId="0" fontId="3" fillId="0" borderId="0" xfId="0" applyFont="1" applyAlignment="1">
      <alignment horizontal="left" wrapText="1"/>
    </xf>
    <xf numFmtId="0" fontId="0" fillId="0" borderId="0" xfId="0"/>
    <xf numFmtId="0" fontId="11" fillId="0" borderId="0" xfId="338" applyFill="1"/>
    <xf numFmtId="166" fontId="14" fillId="0" borderId="11" xfId="338" applyNumberFormat="1" applyFont="1" applyFill="1" applyBorder="1"/>
    <xf numFmtId="0" fontId="2" fillId="0" borderId="0" xfId="0" applyFont="1" applyAlignment="1">
      <alignment horizontal="left" wrapText="1"/>
    </xf>
    <xf numFmtId="0" fontId="0" fillId="0" borderId="0" xfId="0"/>
    <xf numFmtId="6" fontId="0" fillId="0" borderId="0" xfId="0" applyNumberFormat="1"/>
    <xf numFmtId="0" fontId="8" fillId="0" borderId="0" xfId="0" applyFont="1"/>
    <xf numFmtId="0" fontId="8" fillId="0" borderId="2" xfId="0" applyFont="1" applyBorder="1"/>
    <xf numFmtId="6" fontId="8" fillId="0" borderId="2" xfId="0" applyNumberFormat="1" applyFont="1" applyBorder="1"/>
    <xf numFmtId="6" fontId="0" fillId="3" borderId="0" xfId="0" applyNumberFormat="1" applyFill="1"/>
    <xf numFmtId="0" fontId="0" fillId="3" borderId="0" xfId="0" applyFill="1"/>
    <xf numFmtId="49" fontId="15" fillId="0" borderId="10" xfId="338" applyNumberFormat="1" applyFont="1" applyFill="1" applyBorder="1" applyAlignment="1">
      <alignment horizontal="left" indent="1"/>
    </xf>
    <xf numFmtId="49" fontId="15" fillId="0" borderId="0" xfId="338" applyNumberFormat="1" applyFont="1" applyFill="1" applyBorder="1" applyAlignment="1">
      <alignment horizontal="center"/>
    </xf>
    <xf numFmtId="0" fontId="0" fillId="0" borderId="0" xfId="0" applyFill="1"/>
    <xf numFmtId="0" fontId="0" fillId="0" borderId="0" xfId="0"/>
    <xf numFmtId="0" fontId="0" fillId="0" borderId="0" xfId="0" applyAlignment="1">
      <alignment horizontal="center"/>
    </xf>
    <xf numFmtId="1" fontId="11" fillId="0" borderId="0" xfId="338" applyNumberFormat="1" applyFill="1" applyBorder="1"/>
    <xf numFmtId="49" fontId="15" fillId="7" borderId="0" xfId="338" applyNumberFormat="1" applyFont="1" applyFill="1" applyBorder="1" applyAlignment="1">
      <alignment horizontal="left" indent="1"/>
    </xf>
    <xf numFmtId="49" fontId="15" fillId="7" borderId="0" xfId="338" applyNumberFormat="1" applyFont="1" applyFill="1" applyBorder="1" applyAlignment="1">
      <alignment horizontal="center"/>
    </xf>
    <xf numFmtId="49" fontId="21" fillId="8" borderId="0" xfId="338" applyNumberFormat="1" applyFont="1" applyFill="1" applyBorder="1" applyAlignment="1">
      <alignment horizontal="left" indent="1"/>
    </xf>
    <xf numFmtId="0" fontId="0" fillId="0" borderId="0" xfId="0"/>
    <xf numFmtId="0" fontId="0" fillId="0" borderId="0" xfId="0"/>
    <xf numFmtId="0" fontId="3" fillId="0" borderId="0" xfId="0" applyFont="1" applyAlignment="1">
      <alignment horizontal="right" wrapText="1"/>
    </xf>
    <xf numFmtId="49" fontId="17" fillId="0" borderId="12" xfId="338" applyNumberFormat="1" applyFont="1" applyBorder="1" applyAlignment="1">
      <alignment horizontal="left" indent="1"/>
    </xf>
    <xf numFmtId="0" fontId="0" fillId="0" borderId="4" xfId="0" applyFont="1" applyBorder="1"/>
    <xf numFmtId="6" fontId="0" fillId="0" borderId="4" xfId="0" applyNumberFormat="1" applyFont="1" applyBorder="1"/>
    <xf numFmtId="3" fontId="0" fillId="0" borderId="0" xfId="0" applyNumberFormat="1" applyFill="1" applyBorder="1"/>
    <xf numFmtId="0" fontId="0" fillId="0" borderId="0" xfId="0"/>
    <xf numFmtId="49" fontId="20" fillId="7" borderId="0" xfId="338" applyNumberFormat="1" applyFont="1" applyFill="1" applyBorder="1" applyAlignment="1">
      <alignment horizontal="left" indent="1"/>
    </xf>
    <xf numFmtId="49" fontId="15" fillId="0" borderId="13" xfId="338" applyNumberFormat="1" applyFont="1" applyBorder="1"/>
    <xf numFmtId="0" fontId="0" fillId="0" borderId="4" xfId="0" applyBorder="1"/>
    <xf numFmtId="0" fontId="0" fillId="0" borderId="0" xfId="0"/>
    <xf numFmtId="0" fontId="0" fillId="0" borderId="0" xfId="0"/>
    <xf numFmtId="0" fontId="0" fillId="0" borderId="0" xfId="0"/>
    <xf numFmtId="14" fontId="0" fillId="0" borderId="0" xfId="0" applyNumberFormat="1" applyFill="1"/>
    <xf numFmtId="0" fontId="0" fillId="0" borderId="0" xfId="0" applyAlignment="1">
      <alignment horizontal="center"/>
    </xf>
    <xf numFmtId="0" fontId="0" fillId="0" borderId="0" xfId="0"/>
    <xf numFmtId="166" fontId="11" fillId="11" borderId="14" xfId="338" applyNumberFormat="1" applyFill="1" applyBorder="1" applyAlignment="1">
      <alignment vertical="center" wrapText="1"/>
    </xf>
    <xf numFmtId="166" fontId="7" fillId="11" borderId="0" xfId="0" applyNumberFormat="1" applyFont="1" applyFill="1" applyAlignment="1">
      <alignment horizontal="left" indent="3"/>
    </xf>
    <xf numFmtId="166" fontId="7" fillId="11" borderId="0" xfId="0" applyNumberFormat="1" applyFont="1" applyFill="1" applyAlignment="1">
      <alignment horizontal="center" vertical="center"/>
    </xf>
    <xf numFmtId="0" fontId="24" fillId="0" borderId="0" xfId="338" quotePrefix="1" applyFont="1" applyBorder="1"/>
    <xf numFmtId="49" fontId="15" fillId="11" borderId="4" xfId="338" applyNumberFormat="1" applyFont="1" applyFill="1" applyBorder="1" applyAlignment="1">
      <alignment horizontal="center"/>
    </xf>
    <xf numFmtId="49" fontId="15" fillId="10" borderId="7" xfId="338" applyNumberFormat="1" applyFont="1" applyFill="1" applyBorder="1" applyAlignment="1">
      <alignment horizontal="center"/>
    </xf>
    <xf numFmtId="14" fontId="1" fillId="0" borderId="1" xfId="0" applyNumberFormat="1" applyFont="1" applyBorder="1" applyAlignment="1">
      <alignment horizontal="center" wrapText="1"/>
    </xf>
    <xf numFmtId="164" fontId="0" fillId="0" borderId="0" xfId="0" applyNumberFormat="1"/>
    <xf numFmtId="0" fontId="2" fillId="14" borderId="0" xfId="0" applyFont="1" applyFill="1" applyAlignment="1">
      <alignment horizontal="left" wrapText="1"/>
    </xf>
    <xf numFmtId="165" fontId="2" fillId="14" borderId="2" xfId="0" applyNumberFormat="1" applyFont="1" applyFill="1" applyBorder="1" applyAlignment="1">
      <alignment horizontal="right" wrapText="1"/>
    </xf>
    <xf numFmtId="0" fontId="2" fillId="7" borderId="0" xfId="0" applyFont="1" applyFill="1" applyAlignment="1">
      <alignment horizontal="left" wrapText="1"/>
    </xf>
    <xf numFmtId="164" fontId="3" fillId="7" borderId="0" xfId="0" applyNumberFormat="1" applyFont="1" applyFill="1" applyAlignment="1">
      <alignment wrapText="1"/>
    </xf>
    <xf numFmtId="164" fontId="3" fillId="7" borderId="0" xfId="0" applyNumberFormat="1" applyFont="1" applyFill="1" applyAlignment="1">
      <alignment horizontal="right" wrapText="1"/>
    </xf>
    <xf numFmtId="164" fontId="0" fillId="7" borderId="0" xfId="0" applyNumberFormat="1" applyFill="1"/>
    <xf numFmtId="0" fontId="2" fillId="2" borderId="0" xfId="0" applyFont="1" applyFill="1" applyAlignment="1">
      <alignment horizontal="left" wrapText="1"/>
    </xf>
    <xf numFmtId="0" fontId="2" fillId="4" borderId="0" xfId="0" applyFont="1" applyFill="1" applyAlignment="1">
      <alignment horizontal="left" wrapText="1"/>
    </xf>
    <xf numFmtId="164" fontId="3" fillId="4" borderId="0" xfId="0" applyNumberFormat="1" applyFont="1" applyFill="1" applyAlignment="1">
      <alignment wrapText="1"/>
    </xf>
    <xf numFmtId="164" fontId="3" fillId="4" borderId="0" xfId="0" applyNumberFormat="1" applyFont="1" applyFill="1" applyAlignment="1">
      <alignment horizontal="right" wrapText="1"/>
    </xf>
    <xf numFmtId="165" fontId="2" fillId="4" borderId="2" xfId="0" applyNumberFormat="1" applyFont="1" applyFill="1" applyBorder="1" applyAlignment="1">
      <alignment horizontal="right" wrapText="1"/>
    </xf>
    <xf numFmtId="0" fontId="2" fillId="13" borderId="0" xfId="0" applyFont="1" applyFill="1" applyAlignment="1">
      <alignment horizontal="left" wrapText="1"/>
    </xf>
    <xf numFmtId="164" fontId="3" fillId="13" borderId="0" xfId="0" applyNumberFormat="1" applyFont="1" applyFill="1" applyAlignment="1">
      <alignment wrapText="1"/>
    </xf>
    <xf numFmtId="164" fontId="3" fillId="13" borderId="0" xfId="0" applyNumberFormat="1" applyFont="1" applyFill="1" applyAlignment="1">
      <alignment horizontal="right" wrapText="1"/>
    </xf>
    <xf numFmtId="165" fontId="2" fillId="13" borderId="2" xfId="0" applyNumberFormat="1" applyFont="1" applyFill="1" applyBorder="1" applyAlignment="1">
      <alignment horizontal="right" wrapText="1"/>
    </xf>
    <xf numFmtId="0" fontId="2" fillId="0" borderId="0" xfId="0" applyFont="1" applyFill="1" applyAlignment="1">
      <alignment horizontal="left" wrapText="1"/>
    </xf>
    <xf numFmtId="164" fontId="3" fillId="0" borderId="0" xfId="0" applyNumberFormat="1" applyFont="1" applyFill="1" applyAlignment="1">
      <alignment wrapText="1"/>
    </xf>
    <xf numFmtId="164" fontId="3" fillId="0" borderId="0" xfId="0" applyNumberFormat="1" applyFont="1" applyFill="1" applyAlignment="1">
      <alignment horizontal="right" wrapText="1"/>
    </xf>
    <xf numFmtId="165" fontId="2" fillId="0" borderId="2" xfId="0" applyNumberFormat="1" applyFont="1" applyFill="1" applyBorder="1" applyAlignment="1">
      <alignment horizontal="right" wrapText="1"/>
    </xf>
    <xf numFmtId="164" fontId="26" fillId="0" borderId="0" xfId="0" applyNumberFormat="1" applyFont="1" applyFill="1" applyAlignment="1">
      <alignment wrapText="1"/>
    </xf>
    <xf numFmtId="164" fontId="25" fillId="0" borderId="0" xfId="0" applyNumberFormat="1" applyFont="1" applyFill="1" applyAlignment="1">
      <alignment vertical="center" wrapText="1"/>
    </xf>
    <xf numFmtId="164" fontId="25" fillId="0" borderId="1" xfId="0" applyNumberFormat="1" applyFont="1" applyFill="1" applyBorder="1" applyAlignment="1">
      <alignment vertical="center" wrapText="1"/>
    </xf>
    <xf numFmtId="0" fontId="28" fillId="12" borderId="0" xfId="0" applyFont="1" applyFill="1" applyAlignment="1">
      <alignment horizontal="left" wrapText="1"/>
    </xf>
    <xf numFmtId="164" fontId="29" fillId="12" borderId="0" xfId="0" applyNumberFormat="1" applyFont="1" applyFill="1" applyAlignment="1">
      <alignment wrapText="1"/>
    </xf>
    <xf numFmtId="164" fontId="29" fillId="12" borderId="0" xfId="0" applyNumberFormat="1" applyFont="1" applyFill="1" applyAlignment="1">
      <alignment horizontal="right" wrapText="1"/>
    </xf>
    <xf numFmtId="164" fontId="7" fillId="12" borderId="0" xfId="0" applyNumberFormat="1" applyFont="1" applyFill="1"/>
    <xf numFmtId="0" fontId="13" fillId="7" borderId="0" xfId="0" applyFont="1" applyFill="1" applyAlignment="1">
      <alignment horizontal="left" wrapText="1"/>
    </xf>
    <xf numFmtId="164" fontId="13" fillId="7" borderId="0" xfId="0" applyNumberFormat="1" applyFont="1" applyFill="1" applyAlignment="1">
      <alignment wrapText="1"/>
    </xf>
    <xf numFmtId="164" fontId="13" fillId="7" borderId="0" xfId="0" applyNumberFormat="1" applyFont="1" applyFill="1" applyAlignment="1">
      <alignment horizontal="right" wrapText="1"/>
    </xf>
    <xf numFmtId="164" fontId="14" fillId="7" borderId="0" xfId="0" applyNumberFormat="1" applyFont="1" applyFill="1"/>
    <xf numFmtId="0" fontId="17" fillId="0" borderId="0" xfId="338" applyNumberFormat="1" applyFont="1" applyBorder="1"/>
    <xf numFmtId="14" fontId="23" fillId="16" borderId="1" xfId="0" applyNumberFormat="1" applyFont="1" applyFill="1" applyBorder="1" applyAlignment="1">
      <alignment horizontal="center" wrapText="1"/>
    </xf>
    <xf numFmtId="0" fontId="2" fillId="9" borderId="0" xfId="0" applyFont="1" applyFill="1" applyAlignment="1">
      <alignment horizontal="left" wrapText="1"/>
    </xf>
    <xf numFmtId="164" fontId="3" fillId="9" borderId="0" xfId="0" applyNumberFormat="1" applyFont="1" applyFill="1" applyAlignment="1">
      <alignment wrapText="1"/>
    </xf>
    <xf numFmtId="0" fontId="0" fillId="9" borderId="0" xfId="0" applyFill="1"/>
    <xf numFmtId="165" fontId="2" fillId="9" borderId="2" xfId="0" applyNumberFormat="1" applyFont="1" applyFill="1" applyBorder="1" applyAlignment="1">
      <alignment horizontal="right" wrapText="1"/>
    </xf>
    <xf numFmtId="49" fontId="13" fillId="0" borderId="0" xfId="338" applyNumberFormat="1" applyFont="1" applyBorder="1"/>
    <xf numFmtId="3" fontId="0" fillId="0" borderId="0" xfId="0" applyNumberFormat="1" applyFill="1"/>
    <xf numFmtId="0" fontId="8" fillId="0" borderId="1" xfId="0" applyFont="1" applyBorder="1"/>
    <xf numFmtId="14" fontId="8" fillId="0" borderId="1" xfId="0" applyNumberFormat="1" applyFont="1" applyBorder="1"/>
    <xf numFmtId="0" fontId="0" fillId="11" borderId="0" xfId="0" applyFill="1"/>
    <xf numFmtId="3" fontId="0" fillId="11" borderId="0" xfId="0" applyNumberFormat="1" applyFill="1"/>
    <xf numFmtId="14" fontId="0" fillId="11" borderId="0" xfId="0" applyNumberFormat="1" applyFill="1"/>
    <xf numFmtId="0" fontId="33" fillId="0" borderId="0" xfId="338" applyFont="1" applyBorder="1"/>
    <xf numFmtId="0" fontId="11" fillId="6" borderId="0" xfId="0" applyFont="1" applyFill="1"/>
    <xf numFmtId="0" fontId="0" fillId="6" borderId="0" xfId="0" applyFill="1"/>
    <xf numFmtId="49" fontId="15" fillId="2" borderId="7" xfId="338" applyNumberFormat="1" applyFont="1" applyFill="1" applyBorder="1" applyAlignment="1">
      <alignment wrapText="1"/>
    </xf>
    <xf numFmtId="0" fontId="35" fillId="13" borderId="0" xfId="338" applyFont="1" applyFill="1" applyAlignment="1">
      <alignment vertical="top" wrapText="1"/>
    </xf>
    <xf numFmtId="0" fontId="35" fillId="13" borderId="0" xfId="0" applyFont="1" applyFill="1" applyAlignment="1">
      <alignment horizontal="center" vertical="center"/>
    </xf>
    <xf numFmtId="0" fontId="34" fillId="13" borderId="0" xfId="0" applyFont="1" applyFill="1" applyAlignment="1">
      <alignment horizontal="center" vertical="center" wrapText="1"/>
    </xf>
    <xf numFmtId="8" fontId="11" fillId="11" borderId="0" xfId="338" applyNumberFormat="1" applyFill="1"/>
    <xf numFmtId="8" fontId="11" fillId="6" borderId="0" xfId="338" applyNumberFormat="1" applyFill="1"/>
    <xf numFmtId="49" fontId="15" fillId="7" borderId="0" xfId="338" applyNumberFormat="1" applyFont="1" applyFill="1" applyBorder="1" applyAlignment="1">
      <alignment horizontal="center" vertical="center"/>
    </xf>
    <xf numFmtId="49" fontId="16" fillId="5" borderId="12" xfId="338" applyNumberFormat="1" applyFont="1" applyFill="1" applyBorder="1" applyAlignment="1">
      <alignment horizontal="left" vertical="center"/>
    </xf>
    <xf numFmtId="166" fontId="14" fillId="5" borderId="4" xfId="338" applyNumberFormat="1" applyFont="1" applyFill="1" applyBorder="1" applyAlignment="1">
      <alignment horizontal="center" vertical="center"/>
    </xf>
    <xf numFmtId="0" fontId="0" fillId="0" borderId="0" xfId="0" applyAlignment="1">
      <alignment horizontal="center" vertical="center"/>
    </xf>
    <xf numFmtId="49" fontId="16" fillId="4" borderId="12" xfId="338" applyNumberFormat="1" applyFont="1" applyFill="1" applyBorder="1" applyAlignment="1">
      <alignment horizontal="center" vertical="center"/>
    </xf>
    <xf numFmtId="0" fontId="14" fillId="4" borderId="4" xfId="338" applyFont="1" applyFill="1" applyBorder="1" applyAlignment="1">
      <alignment horizontal="center" vertical="center"/>
    </xf>
    <xf numFmtId="0" fontId="11" fillId="6" borderId="0" xfId="0" applyFont="1" applyFill="1" applyAlignment="1">
      <alignment horizontal="center" vertical="center"/>
    </xf>
    <xf numFmtId="40" fontId="14" fillId="4" borderId="4" xfId="338" applyNumberFormat="1" applyFont="1" applyFill="1" applyBorder="1" applyAlignment="1">
      <alignment horizontal="center" vertical="center"/>
    </xf>
    <xf numFmtId="40" fontId="0" fillId="0" borderId="0" xfId="0" applyNumberFormat="1" applyAlignment="1">
      <alignment horizontal="center" vertical="center"/>
    </xf>
    <xf numFmtId="38" fontId="11" fillId="0" borderId="0" xfId="338" applyNumberFormat="1"/>
    <xf numFmtId="38" fontId="11" fillId="0" borderId="0" xfId="338" applyNumberFormat="1" applyBorder="1"/>
    <xf numFmtId="38" fontId="11" fillId="6" borderId="2" xfId="338" applyNumberFormat="1" applyFill="1" applyBorder="1"/>
    <xf numFmtId="38" fontId="14" fillId="4" borderId="7" xfId="338" applyNumberFormat="1" applyFont="1" applyFill="1" applyBorder="1"/>
    <xf numFmtId="38" fontId="11" fillId="0" borderId="0" xfId="338" applyNumberFormat="1" applyFont="1" applyBorder="1"/>
    <xf numFmtId="38" fontId="11" fillId="6" borderId="4" xfId="338" applyNumberFormat="1" applyFill="1" applyBorder="1"/>
    <xf numFmtId="38" fontId="11" fillId="6" borderId="1" xfId="338" applyNumberFormat="1" applyFill="1" applyBorder="1"/>
    <xf numFmtId="38" fontId="11" fillId="6" borderId="0" xfId="338" applyNumberFormat="1" applyFill="1" applyBorder="1"/>
    <xf numFmtId="0" fontId="35" fillId="13" borderId="0" xfId="0" applyFont="1" applyFill="1" applyAlignment="1">
      <alignment horizontal="center" wrapText="1"/>
    </xf>
    <xf numFmtId="0" fontId="34" fillId="13" borderId="15" xfId="0" applyFont="1" applyFill="1" applyBorder="1" applyAlignment="1">
      <alignment horizontal="center" vertical="center" wrapText="1"/>
    </xf>
    <xf numFmtId="166" fontId="11" fillId="10" borderId="2" xfId="338" applyNumberFormat="1" applyFill="1" applyBorder="1" applyAlignment="1">
      <alignment horizontal="center" vertical="center" wrapText="1"/>
    </xf>
    <xf numFmtId="166" fontId="11" fillId="10" borderId="0" xfId="338" applyNumberFormat="1" applyFill="1" applyBorder="1" applyAlignment="1">
      <alignment horizontal="center" vertical="center" wrapText="1"/>
    </xf>
    <xf numFmtId="166" fontId="33" fillId="10" borderId="0" xfId="338" applyNumberFormat="1" applyFont="1" applyFill="1" applyBorder="1" applyAlignment="1">
      <alignment horizontal="center" vertical="center" wrapText="1"/>
    </xf>
    <xf numFmtId="0" fontId="35" fillId="13" borderId="0" xfId="0" applyFont="1" applyFill="1" applyAlignment="1">
      <alignment horizontal="center"/>
    </xf>
    <xf numFmtId="0" fontId="0" fillId="0" borderId="0" xfId="0" applyFill="1" applyAlignment="1">
      <alignment horizontal="center"/>
    </xf>
    <xf numFmtId="0" fontId="0" fillId="9" borderId="0" xfId="0" applyFill="1" applyAlignment="1">
      <alignment horizontal="center" vertical="center"/>
    </xf>
    <xf numFmtId="0" fontId="31" fillId="15" borderId="0" xfId="0" applyFont="1" applyFill="1" applyAlignment="1">
      <alignment horizontal="center"/>
    </xf>
    <xf numFmtId="0" fontId="7" fillId="15" borderId="0" xfId="0" applyFont="1" applyFill="1"/>
    <xf numFmtId="0" fontId="32" fillId="15" borderId="0" xfId="0" applyFont="1" applyFill="1" applyAlignment="1">
      <alignment horizontal="center"/>
    </xf>
    <xf numFmtId="0" fontId="3" fillId="0" borderId="0" xfId="0" applyFont="1" applyAlignment="1">
      <alignment horizontal="center"/>
    </xf>
    <xf numFmtId="0" fontId="0" fillId="0" borderId="0" xfId="0"/>
    <xf numFmtId="0" fontId="0" fillId="7" borderId="0" xfId="0" applyFill="1" applyAlignment="1">
      <alignment horizontal="left"/>
    </xf>
    <xf numFmtId="0" fontId="8" fillId="7" borderId="0" xfId="0" applyFont="1" applyFill="1" applyAlignment="1">
      <alignment horizontal="left"/>
    </xf>
    <xf numFmtId="0" fontId="7" fillId="12" borderId="0" xfId="0" applyFont="1" applyFill="1" applyAlignment="1">
      <alignment horizontal="center"/>
    </xf>
    <xf numFmtId="0" fontId="14" fillId="7" borderId="0" xfId="0" applyFont="1" applyFill="1" applyAlignment="1">
      <alignment horizontal="center"/>
    </xf>
    <xf numFmtId="0" fontId="9" fillId="10" borderId="0" xfId="0" applyFont="1" applyFill="1" applyAlignment="1">
      <alignment horizontal="center"/>
    </xf>
    <xf numFmtId="0" fontId="0" fillId="10" borderId="0" xfId="0" applyFill="1"/>
    <xf numFmtId="0" fontId="9" fillId="0" borderId="0" xfId="0" applyFont="1" applyAlignment="1">
      <alignment horizontal="center"/>
    </xf>
    <xf numFmtId="0" fontId="10" fillId="10" borderId="0" xfId="0" applyFont="1" applyFill="1" applyAlignment="1">
      <alignment horizontal="center"/>
    </xf>
    <xf numFmtId="164" fontId="27" fillId="4" borderId="0" xfId="0" applyNumberFormat="1" applyFont="1" applyFill="1" applyAlignment="1">
      <alignment horizontal="center" vertical="center" textRotation="90" wrapText="1"/>
    </xf>
    <xf numFmtId="164" fontId="25" fillId="14" borderId="0" xfId="0" applyNumberFormat="1" applyFont="1" applyFill="1" applyAlignment="1">
      <alignment horizontal="center" vertical="center" wrapText="1"/>
    </xf>
    <xf numFmtId="164" fontId="25" fillId="14" borderId="1" xfId="0" applyNumberFormat="1" applyFont="1" applyFill="1" applyBorder="1" applyAlignment="1">
      <alignment horizontal="center" vertical="center" wrapText="1"/>
    </xf>
    <xf numFmtId="164" fontId="26" fillId="14" borderId="0" xfId="0" applyNumberFormat="1" applyFont="1" applyFill="1" applyAlignment="1">
      <alignment horizontal="center" wrapText="1"/>
    </xf>
    <xf numFmtId="164" fontId="27" fillId="13" borderId="0" xfId="0" applyNumberFormat="1" applyFont="1" applyFill="1" applyAlignment="1">
      <alignment horizontal="center" vertical="center" textRotation="90" wrapText="1"/>
    </xf>
    <xf numFmtId="0" fontId="30" fillId="0" borderId="0" xfId="0" applyFont="1" applyAlignment="1">
      <alignment horizontal="center" wrapText="1"/>
    </xf>
    <xf numFmtId="0" fontId="8" fillId="0" borderId="4" xfId="0" applyFont="1" applyBorder="1" applyAlignment="1">
      <alignment horizontal="center"/>
    </xf>
    <xf numFmtId="0" fontId="0" fillId="0" borderId="4" xfId="0" applyBorder="1" applyAlignment="1">
      <alignment horizontal="center"/>
    </xf>
    <xf numFmtId="0" fontId="10" fillId="0" borderId="0" xfId="0" applyFont="1" applyAlignment="1">
      <alignment horizontal="center"/>
    </xf>
  </cellXfs>
  <cellStyles count="3560">
    <cellStyle name="Comma 2" xfId="3447" xr:uid="{00000000-0005-0000-0000-000000000000}"/>
    <cellStyle name="Currency 2" xfId="342" xr:uid="{00000000-0005-0000-0000-000001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41"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5" builtinId="9" hidden="1"/>
    <cellStyle name="Followed Hyperlink" xfId="1487"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0" builtinId="9" hidden="1"/>
    <cellStyle name="Followed Hyperlink" xfId="2032" builtinId="9" hidden="1"/>
    <cellStyle name="Followed Hyperlink" xfId="2034" builtinId="9" hidden="1"/>
    <cellStyle name="Followed Hyperlink" xfId="2036" builtinId="9" hidden="1"/>
    <cellStyle name="Followed Hyperlink" xfId="2038" builtinId="9" hidden="1"/>
    <cellStyle name="Followed Hyperlink" xfId="2040" builtinId="9" hidden="1"/>
    <cellStyle name="Followed Hyperlink" xfId="2042" builtinId="9" hidden="1"/>
    <cellStyle name="Followed Hyperlink" xfId="2044" builtinId="9" hidden="1"/>
    <cellStyle name="Followed Hyperlink" xfId="2046" builtinId="9" hidden="1"/>
    <cellStyle name="Followed Hyperlink" xfId="2048" builtinId="9" hidden="1"/>
    <cellStyle name="Followed Hyperlink" xfId="2050" builtinId="9" hidden="1"/>
    <cellStyle name="Followed Hyperlink" xfId="2052" builtinId="9" hidden="1"/>
    <cellStyle name="Followed Hyperlink" xfId="2054" builtinId="9" hidden="1"/>
    <cellStyle name="Followed Hyperlink" xfId="2056" builtinId="9" hidden="1"/>
    <cellStyle name="Followed Hyperlink" xfId="2058" builtinId="9" hidden="1"/>
    <cellStyle name="Followed Hyperlink" xfId="2060" builtinId="9" hidden="1"/>
    <cellStyle name="Followed Hyperlink" xfId="2062" builtinId="9" hidden="1"/>
    <cellStyle name="Followed Hyperlink" xfId="2064" builtinId="9" hidden="1"/>
    <cellStyle name="Followed Hyperlink" xfId="2066" builtinId="9" hidden="1"/>
    <cellStyle name="Followed Hyperlink" xfId="2068" builtinId="9" hidden="1"/>
    <cellStyle name="Followed Hyperlink" xfId="2070" builtinId="9" hidden="1"/>
    <cellStyle name="Followed Hyperlink" xfId="2072" builtinId="9" hidden="1"/>
    <cellStyle name="Followed Hyperlink" xfId="2074" builtinId="9" hidden="1"/>
    <cellStyle name="Followed Hyperlink" xfId="2076" builtinId="9" hidden="1"/>
    <cellStyle name="Followed Hyperlink" xfId="2078" builtinId="9" hidden="1"/>
    <cellStyle name="Followed Hyperlink" xfId="2080" builtinId="9" hidden="1"/>
    <cellStyle name="Followed Hyperlink" xfId="2082" builtinId="9" hidden="1"/>
    <cellStyle name="Followed Hyperlink" xfId="2084" builtinId="9" hidden="1"/>
    <cellStyle name="Followed Hyperlink" xfId="2086" builtinId="9" hidden="1"/>
    <cellStyle name="Followed Hyperlink" xfId="2088" builtinId="9" hidden="1"/>
    <cellStyle name="Followed Hyperlink" xfId="2090" builtinId="9" hidden="1"/>
    <cellStyle name="Followed Hyperlink" xfId="2092" builtinId="9" hidden="1"/>
    <cellStyle name="Followed Hyperlink" xfId="2094" builtinId="9" hidden="1"/>
    <cellStyle name="Followed Hyperlink" xfId="2096" builtinId="9" hidden="1"/>
    <cellStyle name="Followed Hyperlink" xfId="2098" builtinId="9" hidden="1"/>
    <cellStyle name="Followed Hyperlink" xfId="2100" builtinId="9" hidden="1"/>
    <cellStyle name="Followed Hyperlink" xfId="2102" builtinId="9" hidden="1"/>
    <cellStyle name="Followed Hyperlink" xfId="2104" builtinId="9" hidden="1"/>
    <cellStyle name="Followed Hyperlink" xfId="2106" builtinId="9" hidden="1"/>
    <cellStyle name="Followed Hyperlink" xfId="2108" builtinId="9" hidden="1"/>
    <cellStyle name="Followed Hyperlink" xfId="2110" builtinId="9" hidden="1"/>
    <cellStyle name="Followed Hyperlink" xfId="2112" builtinId="9" hidden="1"/>
    <cellStyle name="Followed Hyperlink" xfId="2114" builtinId="9" hidden="1"/>
    <cellStyle name="Followed Hyperlink" xfId="2116" builtinId="9" hidden="1"/>
    <cellStyle name="Followed Hyperlink" xfId="2118" builtinId="9" hidden="1"/>
    <cellStyle name="Followed Hyperlink" xfId="2120" builtinId="9" hidden="1"/>
    <cellStyle name="Followed Hyperlink" xfId="2122" builtinId="9" hidden="1"/>
    <cellStyle name="Followed Hyperlink" xfId="2124" builtinId="9" hidden="1"/>
    <cellStyle name="Followed Hyperlink" xfId="2126" builtinId="9" hidden="1"/>
    <cellStyle name="Followed Hyperlink" xfId="2128" builtinId="9" hidden="1"/>
    <cellStyle name="Followed Hyperlink" xfId="2130" builtinId="9" hidden="1"/>
    <cellStyle name="Followed Hyperlink" xfId="2132" builtinId="9" hidden="1"/>
    <cellStyle name="Followed Hyperlink" xfId="2134" builtinId="9" hidden="1"/>
    <cellStyle name="Followed Hyperlink" xfId="2136" builtinId="9" hidden="1"/>
    <cellStyle name="Followed Hyperlink" xfId="2138" builtinId="9" hidden="1"/>
    <cellStyle name="Followed Hyperlink" xfId="2140" builtinId="9" hidden="1"/>
    <cellStyle name="Followed Hyperlink" xfId="2142" builtinId="9" hidden="1"/>
    <cellStyle name="Followed Hyperlink" xfId="2144" builtinId="9" hidden="1"/>
    <cellStyle name="Followed Hyperlink" xfId="2146" builtinId="9" hidden="1"/>
    <cellStyle name="Followed Hyperlink" xfId="2148" builtinId="9" hidden="1"/>
    <cellStyle name="Followed Hyperlink" xfId="2150" builtinId="9" hidden="1"/>
    <cellStyle name="Followed Hyperlink" xfId="2152" builtinId="9" hidden="1"/>
    <cellStyle name="Followed Hyperlink" xfId="2154" builtinId="9" hidden="1"/>
    <cellStyle name="Followed Hyperlink" xfId="2156" builtinId="9" hidden="1"/>
    <cellStyle name="Followed Hyperlink" xfId="2158" builtinId="9" hidden="1"/>
    <cellStyle name="Followed Hyperlink" xfId="2160" builtinId="9" hidden="1"/>
    <cellStyle name="Followed Hyperlink" xfId="2162" builtinId="9" hidden="1"/>
    <cellStyle name="Followed Hyperlink" xfId="2164" builtinId="9" hidden="1"/>
    <cellStyle name="Followed Hyperlink" xfId="2166" builtinId="9" hidden="1"/>
    <cellStyle name="Followed Hyperlink" xfId="2168" builtinId="9" hidden="1"/>
    <cellStyle name="Followed Hyperlink" xfId="2170" builtinId="9" hidden="1"/>
    <cellStyle name="Followed Hyperlink" xfId="2172" builtinId="9" hidden="1"/>
    <cellStyle name="Followed Hyperlink" xfId="2174" builtinId="9" hidden="1"/>
    <cellStyle name="Followed Hyperlink" xfId="2176" builtinId="9" hidden="1"/>
    <cellStyle name="Followed Hyperlink" xfId="2178" builtinId="9" hidden="1"/>
    <cellStyle name="Followed Hyperlink" xfId="2180" builtinId="9" hidden="1"/>
    <cellStyle name="Followed Hyperlink" xfId="2182" builtinId="9" hidden="1"/>
    <cellStyle name="Followed Hyperlink" xfId="2184" builtinId="9" hidden="1"/>
    <cellStyle name="Followed Hyperlink" xfId="2186" builtinId="9" hidden="1"/>
    <cellStyle name="Followed Hyperlink" xfId="2188" builtinId="9" hidden="1"/>
    <cellStyle name="Followed Hyperlink" xfId="2190" builtinId="9" hidden="1"/>
    <cellStyle name="Followed Hyperlink" xfId="2192" builtinId="9" hidden="1"/>
    <cellStyle name="Followed Hyperlink" xfId="2194" builtinId="9" hidden="1"/>
    <cellStyle name="Followed Hyperlink" xfId="2196" builtinId="9" hidden="1"/>
    <cellStyle name="Followed Hyperlink" xfId="2198" builtinId="9" hidden="1"/>
    <cellStyle name="Followed Hyperlink" xfId="2200" builtinId="9" hidden="1"/>
    <cellStyle name="Followed Hyperlink" xfId="2202" builtinId="9" hidden="1"/>
    <cellStyle name="Followed Hyperlink" xfId="2204" builtinId="9" hidden="1"/>
    <cellStyle name="Followed Hyperlink" xfId="2206" builtinId="9" hidden="1"/>
    <cellStyle name="Followed Hyperlink" xfId="2208" builtinId="9" hidden="1"/>
    <cellStyle name="Followed Hyperlink" xfId="2210" builtinId="9" hidden="1"/>
    <cellStyle name="Followed Hyperlink" xfId="2212" builtinId="9" hidden="1"/>
    <cellStyle name="Followed Hyperlink" xfId="2214" builtinId="9" hidden="1"/>
    <cellStyle name="Followed Hyperlink" xfId="2216" builtinId="9" hidden="1"/>
    <cellStyle name="Followed Hyperlink" xfId="2218" builtinId="9" hidden="1"/>
    <cellStyle name="Followed Hyperlink" xfId="2220" builtinId="9" hidden="1"/>
    <cellStyle name="Followed Hyperlink" xfId="2222" builtinId="9" hidden="1"/>
    <cellStyle name="Followed Hyperlink" xfId="2224" builtinId="9" hidden="1"/>
    <cellStyle name="Followed Hyperlink" xfId="2226" builtinId="9" hidden="1"/>
    <cellStyle name="Followed Hyperlink" xfId="2228" builtinId="9" hidden="1"/>
    <cellStyle name="Followed Hyperlink" xfId="2230" builtinId="9" hidden="1"/>
    <cellStyle name="Followed Hyperlink" xfId="2232" builtinId="9" hidden="1"/>
    <cellStyle name="Followed Hyperlink" xfId="2234" builtinId="9" hidden="1"/>
    <cellStyle name="Followed Hyperlink" xfId="2236" builtinId="9" hidden="1"/>
    <cellStyle name="Followed Hyperlink" xfId="2238" builtinId="9" hidden="1"/>
    <cellStyle name="Followed Hyperlink" xfId="2240" builtinId="9" hidden="1"/>
    <cellStyle name="Followed Hyperlink" xfId="2242" builtinId="9" hidden="1"/>
    <cellStyle name="Followed Hyperlink" xfId="2244" builtinId="9" hidden="1"/>
    <cellStyle name="Followed Hyperlink" xfId="2246" builtinId="9" hidden="1"/>
    <cellStyle name="Followed Hyperlink" xfId="2248" builtinId="9" hidden="1"/>
    <cellStyle name="Followed Hyperlink" xfId="2250" builtinId="9" hidden="1"/>
    <cellStyle name="Followed Hyperlink" xfId="2252" builtinId="9" hidden="1"/>
    <cellStyle name="Followed Hyperlink" xfId="2254" builtinId="9" hidden="1"/>
    <cellStyle name="Followed Hyperlink" xfId="2256" builtinId="9" hidden="1"/>
    <cellStyle name="Followed Hyperlink" xfId="2258" builtinId="9" hidden="1"/>
    <cellStyle name="Followed Hyperlink" xfId="2260" builtinId="9" hidden="1"/>
    <cellStyle name="Followed Hyperlink" xfId="2262" builtinId="9" hidden="1"/>
    <cellStyle name="Followed Hyperlink" xfId="2264" builtinId="9" hidden="1"/>
    <cellStyle name="Followed Hyperlink" xfId="2266" builtinId="9" hidden="1"/>
    <cellStyle name="Followed Hyperlink" xfId="2268" builtinId="9" hidden="1"/>
    <cellStyle name="Followed Hyperlink" xfId="2270" builtinId="9" hidden="1"/>
    <cellStyle name="Followed Hyperlink" xfId="2272" builtinId="9" hidden="1"/>
    <cellStyle name="Followed Hyperlink" xfId="2274" builtinId="9" hidden="1"/>
    <cellStyle name="Followed Hyperlink" xfId="2276" builtinId="9" hidden="1"/>
    <cellStyle name="Followed Hyperlink" xfId="2278" builtinId="9" hidden="1"/>
    <cellStyle name="Followed Hyperlink" xfId="2280" builtinId="9" hidden="1"/>
    <cellStyle name="Followed Hyperlink" xfId="2282" builtinId="9" hidden="1"/>
    <cellStyle name="Followed Hyperlink" xfId="2284" builtinId="9" hidden="1"/>
    <cellStyle name="Followed Hyperlink" xfId="2286" builtinId="9" hidden="1"/>
    <cellStyle name="Followed Hyperlink" xfId="2288" builtinId="9" hidden="1"/>
    <cellStyle name="Followed Hyperlink" xfId="2290" builtinId="9" hidden="1"/>
    <cellStyle name="Followed Hyperlink" xfId="2292" builtinId="9" hidden="1"/>
    <cellStyle name="Followed Hyperlink" xfId="2294" builtinId="9" hidden="1"/>
    <cellStyle name="Followed Hyperlink" xfId="2296" builtinId="9" hidden="1"/>
    <cellStyle name="Followed Hyperlink" xfId="2298" builtinId="9" hidden="1"/>
    <cellStyle name="Followed Hyperlink" xfId="2300" builtinId="9" hidden="1"/>
    <cellStyle name="Followed Hyperlink" xfId="2302"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16" builtinId="9" hidden="1"/>
    <cellStyle name="Followed Hyperlink" xfId="2318"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30" builtinId="9" hidden="1"/>
    <cellStyle name="Followed Hyperlink" xfId="2332" builtinId="9" hidden="1"/>
    <cellStyle name="Followed Hyperlink" xfId="2334" builtinId="9" hidden="1"/>
    <cellStyle name="Followed Hyperlink" xfId="2336" builtinId="9" hidden="1"/>
    <cellStyle name="Followed Hyperlink" xfId="2338" builtinId="9" hidden="1"/>
    <cellStyle name="Followed Hyperlink" xfId="2340" builtinId="9" hidden="1"/>
    <cellStyle name="Followed Hyperlink" xfId="2342" builtinId="9" hidden="1"/>
    <cellStyle name="Followed Hyperlink" xfId="2344" builtinId="9" hidden="1"/>
    <cellStyle name="Followed Hyperlink" xfId="2346" builtinId="9" hidden="1"/>
    <cellStyle name="Followed Hyperlink" xfId="2348" builtinId="9" hidden="1"/>
    <cellStyle name="Followed Hyperlink" xfId="2350" builtinId="9" hidden="1"/>
    <cellStyle name="Followed Hyperlink" xfId="2352" builtinId="9" hidden="1"/>
    <cellStyle name="Followed Hyperlink" xfId="2354" builtinId="9" hidden="1"/>
    <cellStyle name="Followed Hyperlink" xfId="2356" builtinId="9" hidden="1"/>
    <cellStyle name="Followed Hyperlink" xfId="2358" builtinId="9" hidden="1"/>
    <cellStyle name="Followed Hyperlink" xfId="2360" builtinId="9" hidden="1"/>
    <cellStyle name="Followed Hyperlink" xfId="2362" builtinId="9" hidden="1"/>
    <cellStyle name="Followed Hyperlink" xfId="2364" builtinId="9" hidden="1"/>
    <cellStyle name="Followed Hyperlink" xfId="2366" builtinId="9" hidden="1"/>
    <cellStyle name="Followed Hyperlink" xfId="2368" builtinId="9" hidden="1"/>
    <cellStyle name="Followed Hyperlink" xfId="2370" builtinId="9" hidden="1"/>
    <cellStyle name="Followed Hyperlink" xfId="2372" builtinId="9" hidden="1"/>
    <cellStyle name="Followed Hyperlink" xfId="2374" builtinId="9" hidden="1"/>
    <cellStyle name="Followed Hyperlink" xfId="2376" builtinId="9" hidden="1"/>
    <cellStyle name="Followed Hyperlink" xfId="2378" builtinId="9" hidden="1"/>
    <cellStyle name="Followed Hyperlink" xfId="2380" builtinId="9" hidden="1"/>
    <cellStyle name="Followed Hyperlink" xfId="2382" builtinId="9" hidden="1"/>
    <cellStyle name="Followed Hyperlink" xfId="2384" builtinId="9" hidden="1"/>
    <cellStyle name="Followed Hyperlink" xfId="2386" builtinId="9" hidden="1"/>
    <cellStyle name="Followed Hyperlink" xfId="2388" builtinId="9" hidden="1"/>
    <cellStyle name="Followed Hyperlink" xfId="2390" builtinId="9" hidden="1"/>
    <cellStyle name="Followed Hyperlink" xfId="2392" builtinId="9" hidden="1"/>
    <cellStyle name="Followed Hyperlink" xfId="2394" builtinId="9" hidden="1"/>
    <cellStyle name="Followed Hyperlink" xfId="2396" builtinId="9" hidden="1"/>
    <cellStyle name="Followed Hyperlink" xfId="2398" builtinId="9" hidden="1"/>
    <cellStyle name="Followed Hyperlink" xfId="2400" builtinId="9" hidden="1"/>
    <cellStyle name="Followed Hyperlink" xfId="2402" builtinId="9" hidden="1"/>
    <cellStyle name="Followed Hyperlink" xfId="2404" builtinId="9" hidden="1"/>
    <cellStyle name="Followed Hyperlink" xfId="2406" builtinId="9" hidden="1"/>
    <cellStyle name="Followed Hyperlink" xfId="2408" builtinId="9" hidden="1"/>
    <cellStyle name="Followed Hyperlink" xfId="2410" builtinId="9" hidden="1"/>
    <cellStyle name="Followed Hyperlink" xfId="2412" builtinId="9" hidden="1"/>
    <cellStyle name="Followed Hyperlink" xfId="2414" builtinId="9" hidden="1"/>
    <cellStyle name="Followed Hyperlink" xfId="2416" builtinId="9" hidden="1"/>
    <cellStyle name="Followed Hyperlink" xfId="2418" builtinId="9" hidden="1"/>
    <cellStyle name="Followed Hyperlink" xfId="2420" builtinId="9" hidden="1"/>
    <cellStyle name="Followed Hyperlink" xfId="2422" builtinId="9" hidden="1"/>
    <cellStyle name="Followed Hyperlink" xfId="2424" builtinId="9" hidden="1"/>
    <cellStyle name="Followed Hyperlink" xfId="2426" builtinId="9" hidden="1"/>
    <cellStyle name="Followed Hyperlink" xfId="2428" builtinId="9" hidden="1"/>
    <cellStyle name="Followed Hyperlink" xfId="2430" builtinId="9" hidden="1"/>
    <cellStyle name="Followed Hyperlink" xfId="2432" builtinId="9" hidden="1"/>
    <cellStyle name="Followed Hyperlink" xfId="2434" builtinId="9" hidden="1"/>
    <cellStyle name="Followed Hyperlink" xfId="2436" builtinId="9" hidden="1"/>
    <cellStyle name="Followed Hyperlink" xfId="2438" builtinId="9" hidden="1"/>
    <cellStyle name="Followed Hyperlink" xfId="2440" builtinId="9" hidden="1"/>
    <cellStyle name="Followed Hyperlink" xfId="2442" builtinId="9" hidden="1"/>
    <cellStyle name="Followed Hyperlink" xfId="2444" builtinId="9" hidden="1"/>
    <cellStyle name="Followed Hyperlink" xfId="2446" builtinId="9" hidden="1"/>
    <cellStyle name="Followed Hyperlink" xfId="2448" builtinId="9" hidden="1"/>
    <cellStyle name="Followed Hyperlink" xfId="2450" builtinId="9" hidden="1"/>
    <cellStyle name="Followed Hyperlink" xfId="2452" builtinId="9" hidden="1"/>
    <cellStyle name="Followed Hyperlink" xfId="2454" builtinId="9" hidden="1"/>
    <cellStyle name="Followed Hyperlink" xfId="2456" builtinId="9" hidden="1"/>
    <cellStyle name="Followed Hyperlink" xfId="2458" builtinId="9" hidden="1"/>
    <cellStyle name="Followed Hyperlink" xfId="2460" builtinId="9" hidden="1"/>
    <cellStyle name="Followed Hyperlink" xfId="2462" builtinId="9" hidden="1"/>
    <cellStyle name="Followed Hyperlink" xfId="2464" builtinId="9" hidden="1"/>
    <cellStyle name="Followed Hyperlink" xfId="2466" builtinId="9" hidden="1"/>
    <cellStyle name="Followed Hyperlink" xfId="2468" builtinId="9" hidden="1"/>
    <cellStyle name="Followed Hyperlink" xfId="2470" builtinId="9" hidden="1"/>
    <cellStyle name="Followed Hyperlink" xfId="2472" builtinId="9" hidden="1"/>
    <cellStyle name="Followed Hyperlink" xfId="2474" builtinId="9" hidden="1"/>
    <cellStyle name="Followed Hyperlink" xfId="2476" builtinId="9" hidden="1"/>
    <cellStyle name="Followed Hyperlink" xfId="2478" builtinId="9" hidden="1"/>
    <cellStyle name="Followed Hyperlink" xfId="2480" builtinId="9" hidden="1"/>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Followed Hyperlink" xfId="3444" builtinId="9" hidden="1"/>
    <cellStyle name="Followed Hyperlink" xfId="3446" builtinId="9" hidden="1"/>
    <cellStyle name="Followed Hyperlink" xfId="3449" builtinId="9" hidden="1"/>
    <cellStyle name="Followed Hyperlink" xfId="3451" builtinId="9" hidden="1"/>
    <cellStyle name="Followed Hyperlink" xfId="3453" builtinId="9" hidden="1"/>
    <cellStyle name="Followed Hyperlink" xfId="3455" builtinId="9" hidden="1"/>
    <cellStyle name="Followed Hyperlink" xfId="3457" builtinId="9" hidden="1"/>
    <cellStyle name="Followed Hyperlink" xfId="3459" builtinId="9" hidden="1"/>
    <cellStyle name="Followed Hyperlink" xfId="3461" builtinId="9" hidden="1"/>
    <cellStyle name="Followed Hyperlink" xfId="3463" builtinId="9" hidden="1"/>
    <cellStyle name="Followed Hyperlink" xfId="3465" builtinId="9" hidden="1"/>
    <cellStyle name="Followed Hyperlink" xfId="3467" builtinId="9" hidden="1"/>
    <cellStyle name="Followed Hyperlink" xfId="3469" builtinId="9" hidden="1"/>
    <cellStyle name="Followed Hyperlink" xfId="3471" builtinId="9" hidden="1"/>
    <cellStyle name="Followed Hyperlink" xfId="3473" builtinId="9" hidden="1"/>
    <cellStyle name="Followed Hyperlink" xfId="3475" builtinId="9" hidden="1"/>
    <cellStyle name="Followed Hyperlink" xfId="3477" builtinId="9" hidden="1"/>
    <cellStyle name="Followed Hyperlink" xfId="3479" builtinId="9" hidden="1"/>
    <cellStyle name="Followed Hyperlink" xfId="3481" builtinId="9" hidden="1"/>
    <cellStyle name="Followed Hyperlink" xfId="3483" builtinId="9" hidden="1"/>
    <cellStyle name="Followed Hyperlink" xfId="3485" builtinId="9" hidden="1"/>
    <cellStyle name="Followed Hyperlink" xfId="3487" builtinId="9" hidden="1"/>
    <cellStyle name="Followed Hyperlink" xfId="3489" builtinId="9" hidden="1"/>
    <cellStyle name="Followed Hyperlink" xfId="3491" builtinId="9" hidden="1"/>
    <cellStyle name="Followed Hyperlink" xfId="3493" builtinId="9" hidden="1"/>
    <cellStyle name="Followed Hyperlink" xfId="3495" builtinId="9" hidden="1"/>
    <cellStyle name="Followed Hyperlink" xfId="3497" builtinId="9" hidden="1"/>
    <cellStyle name="Followed Hyperlink" xfId="3499" builtinId="9" hidden="1"/>
    <cellStyle name="Followed Hyperlink" xfId="3501" builtinId="9" hidden="1"/>
    <cellStyle name="Followed Hyperlink" xfId="3503" builtinId="9" hidden="1"/>
    <cellStyle name="Followed Hyperlink" xfId="3505" builtinId="9" hidden="1"/>
    <cellStyle name="Followed Hyperlink" xfId="3507" builtinId="9" hidden="1"/>
    <cellStyle name="Followed Hyperlink" xfId="3509" builtinId="9" hidden="1"/>
    <cellStyle name="Followed Hyperlink" xfId="3511" builtinId="9" hidden="1"/>
    <cellStyle name="Followed Hyperlink" xfId="3513" builtinId="9" hidden="1"/>
    <cellStyle name="Followed Hyperlink" xfId="3515" builtinId="9" hidden="1"/>
    <cellStyle name="Followed Hyperlink" xfId="3517" builtinId="9" hidden="1"/>
    <cellStyle name="Followed Hyperlink" xfId="3519" builtinId="9" hidden="1"/>
    <cellStyle name="Followed Hyperlink" xfId="3521" builtinId="9" hidden="1"/>
    <cellStyle name="Followed Hyperlink" xfId="3523" builtinId="9" hidden="1"/>
    <cellStyle name="Followed Hyperlink" xfId="3525" builtinId="9" hidden="1"/>
    <cellStyle name="Followed Hyperlink" xfId="3527" builtinId="9" hidden="1"/>
    <cellStyle name="Followed Hyperlink" xfId="3529" builtinId="9" hidden="1"/>
    <cellStyle name="Followed Hyperlink" xfId="3531" builtinId="9" hidden="1"/>
    <cellStyle name="Followed Hyperlink" xfId="3533" builtinId="9" hidden="1"/>
    <cellStyle name="Followed Hyperlink" xfId="3535" builtinId="9" hidden="1"/>
    <cellStyle name="Followed Hyperlink" xfId="3537" builtinId="9" hidden="1"/>
    <cellStyle name="Followed Hyperlink" xfId="3539" builtinId="9" hidden="1"/>
    <cellStyle name="Followed Hyperlink" xfId="3541" builtinId="9" hidden="1"/>
    <cellStyle name="Followed Hyperlink" xfId="3543" builtinId="9" hidden="1"/>
    <cellStyle name="Followed Hyperlink" xfId="3545" builtinId="9" hidden="1"/>
    <cellStyle name="Followed Hyperlink" xfId="3547" builtinId="9" hidden="1"/>
    <cellStyle name="Followed Hyperlink" xfId="3549" builtinId="9" hidden="1"/>
    <cellStyle name="Followed Hyperlink" xfId="3551" builtinId="9" hidden="1"/>
    <cellStyle name="Followed Hyperlink" xfId="3553" builtinId="9" hidden="1"/>
    <cellStyle name="Followed Hyperlink" xfId="3555" builtinId="9" hidden="1"/>
    <cellStyle name="Followed Hyperlink" xfId="3557" builtinId="9" hidden="1"/>
    <cellStyle name="Followed Hyperlink" xfId="355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40"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4" builtinId="8" hidden="1"/>
    <cellStyle name="Hyperlink" xfId="1486"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29" builtinId="8" hidden="1"/>
    <cellStyle name="Hyperlink" xfId="2031" builtinId="8" hidden="1"/>
    <cellStyle name="Hyperlink" xfId="2033" builtinId="8" hidden="1"/>
    <cellStyle name="Hyperlink" xfId="2035" builtinId="8" hidden="1"/>
    <cellStyle name="Hyperlink" xfId="2037" builtinId="8" hidden="1"/>
    <cellStyle name="Hyperlink" xfId="2039" builtinId="8" hidden="1"/>
    <cellStyle name="Hyperlink" xfId="2041" builtinId="8" hidden="1"/>
    <cellStyle name="Hyperlink" xfId="2043" builtinId="8" hidden="1"/>
    <cellStyle name="Hyperlink" xfId="2045" builtinId="8" hidden="1"/>
    <cellStyle name="Hyperlink" xfId="2047" builtinId="8" hidden="1"/>
    <cellStyle name="Hyperlink" xfId="2049" builtinId="8" hidden="1"/>
    <cellStyle name="Hyperlink" xfId="2051" builtinId="8" hidden="1"/>
    <cellStyle name="Hyperlink" xfId="2053" builtinId="8" hidden="1"/>
    <cellStyle name="Hyperlink" xfId="2055" builtinId="8" hidden="1"/>
    <cellStyle name="Hyperlink" xfId="2057" builtinId="8" hidden="1"/>
    <cellStyle name="Hyperlink" xfId="2059" builtinId="8" hidden="1"/>
    <cellStyle name="Hyperlink" xfId="2061" builtinId="8" hidden="1"/>
    <cellStyle name="Hyperlink" xfId="2063" builtinId="8" hidden="1"/>
    <cellStyle name="Hyperlink" xfId="2065" builtinId="8" hidden="1"/>
    <cellStyle name="Hyperlink" xfId="2067" builtinId="8" hidden="1"/>
    <cellStyle name="Hyperlink" xfId="2069" builtinId="8" hidden="1"/>
    <cellStyle name="Hyperlink" xfId="2071" builtinId="8" hidden="1"/>
    <cellStyle name="Hyperlink" xfId="2073" builtinId="8" hidden="1"/>
    <cellStyle name="Hyperlink" xfId="2075" builtinId="8" hidden="1"/>
    <cellStyle name="Hyperlink" xfId="2077" builtinId="8" hidden="1"/>
    <cellStyle name="Hyperlink" xfId="2079" builtinId="8" hidden="1"/>
    <cellStyle name="Hyperlink" xfId="2081" builtinId="8" hidden="1"/>
    <cellStyle name="Hyperlink" xfId="2083" builtinId="8" hidden="1"/>
    <cellStyle name="Hyperlink" xfId="2085" builtinId="8" hidden="1"/>
    <cellStyle name="Hyperlink" xfId="2087" builtinId="8" hidden="1"/>
    <cellStyle name="Hyperlink" xfId="2089" builtinId="8" hidden="1"/>
    <cellStyle name="Hyperlink" xfId="2091" builtinId="8" hidden="1"/>
    <cellStyle name="Hyperlink" xfId="2093" builtinId="8" hidden="1"/>
    <cellStyle name="Hyperlink" xfId="2095" builtinId="8" hidden="1"/>
    <cellStyle name="Hyperlink" xfId="2097" builtinId="8" hidden="1"/>
    <cellStyle name="Hyperlink" xfId="2099" builtinId="8" hidden="1"/>
    <cellStyle name="Hyperlink" xfId="2101" builtinId="8" hidden="1"/>
    <cellStyle name="Hyperlink" xfId="2103" builtinId="8" hidden="1"/>
    <cellStyle name="Hyperlink" xfId="2105" builtinId="8" hidden="1"/>
    <cellStyle name="Hyperlink" xfId="2107" builtinId="8" hidden="1"/>
    <cellStyle name="Hyperlink" xfId="2109" builtinId="8" hidden="1"/>
    <cellStyle name="Hyperlink" xfId="2111" builtinId="8" hidden="1"/>
    <cellStyle name="Hyperlink" xfId="2113" builtinId="8" hidden="1"/>
    <cellStyle name="Hyperlink" xfId="2115" builtinId="8" hidden="1"/>
    <cellStyle name="Hyperlink" xfId="2117" builtinId="8" hidden="1"/>
    <cellStyle name="Hyperlink" xfId="2119" builtinId="8" hidden="1"/>
    <cellStyle name="Hyperlink" xfId="2121" builtinId="8" hidden="1"/>
    <cellStyle name="Hyperlink" xfId="2123" builtinId="8" hidden="1"/>
    <cellStyle name="Hyperlink" xfId="2125" builtinId="8" hidden="1"/>
    <cellStyle name="Hyperlink" xfId="2127" builtinId="8" hidden="1"/>
    <cellStyle name="Hyperlink" xfId="2129" builtinId="8" hidden="1"/>
    <cellStyle name="Hyperlink" xfId="2131" builtinId="8" hidden="1"/>
    <cellStyle name="Hyperlink" xfId="2133" builtinId="8" hidden="1"/>
    <cellStyle name="Hyperlink" xfId="2135" builtinId="8" hidden="1"/>
    <cellStyle name="Hyperlink" xfId="2137" builtinId="8" hidden="1"/>
    <cellStyle name="Hyperlink" xfId="2139" builtinId="8" hidden="1"/>
    <cellStyle name="Hyperlink" xfId="2141" builtinId="8" hidden="1"/>
    <cellStyle name="Hyperlink" xfId="2143" builtinId="8" hidden="1"/>
    <cellStyle name="Hyperlink" xfId="2145" builtinId="8" hidden="1"/>
    <cellStyle name="Hyperlink" xfId="2147" builtinId="8" hidden="1"/>
    <cellStyle name="Hyperlink" xfId="2149" builtinId="8" hidden="1"/>
    <cellStyle name="Hyperlink" xfId="2151" builtinId="8" hidden="1"/>
    <cellStyle name="Hyperlink" xfId="2153" builtinId="8" hidden="1"/>
    <cellStyle name="Hyperlink" xfId="2155" builtinId="8" hidden="1"/>
    <cellStyle name="Hyperlink" xfId="2157" builtinId="8" hidden="1"/>
    <cellStyle name="Hyperlink" xfId="2159" builtinId="8" hidden="1"/>
    <cellStyle name="Hyperlink" xfId="2161" builtinId="8" hidden="1"/>
    <cellStyle name="Hyperlink" xfId="2163" builtinId="8" hidden="1"/>
    <cellStyle name="Hyperlink" xfId="2165" builtinId="8" hidden="1"/>
    <cellStyle name="Hyperlink" xfId="2167" builtinId="8" hidden="1"/>
    <cellStyle name="Hyperlink" xfId="2169" builtinId="8" hidden="1"/>
    <cellStyle name="Hyperlink" xfId="2171" builtinId="8" hidden="1"/>
    <cellStyle name="Hyperlink" xfId="2173" builtinId="8" hidden="1"/>
    <cellStyle name="Hyperlink" xfId="2175" builtinId="8" hidden="1"/>
    <cellStyle name="Hyperlink" xfId="2177" builtinId="8" hidden="1"/>
    <cellStyle name="Hyperlink" xfId="2179" builtinId="8" hidden="1"/>
    <cellStyle name="Hyperlink" xfId="2181" builtinId="8" hidden="1"/>
    <cellStyle name="Hyperlink" xfId="2183" builtinId="8" hidden="1"/>
    <cellStyle name="Hyperlink" xfId="2185" builtinId="8" hidden="1"/>
    <cellStyle name="Hyperlink" xfId="2187" builtinId="8" hidden="1"/>
    <cellStyle name="Hyperlink" xfId="2189" builtinId="8" hidden="1"/>
    <cellStyle name="Hyperlink" xfId="2191" builtinId="8" hidden="1"/>
    <cellStyle name="Hyperlink" xfId="2193" builtinId="8" hidden="1"/>
    <cellStyle name="Hyperlink" xfId="2195" builtinId="8" hidden="1"/>
    <cellStyle name="Hyperlink" xfId="2197" builtinId="8" hidden="1"/>
    <cellStyle name="Hyperlink" xfId="2199" builtinId="8" hidden="1"/>
    <cellStyle name="Hyperlink" xfId="2201" builtinId="8" hidden="1"/>
    <cellStyle name="Hyperlink" xfId="2203" builtinId="8" hidden="1"/>
    <cellStyle name="Hyperlink" xfId="2205" builtinId="8" hidden="1"/>
    <cellStyle name="Hyperlink" xfId="2207" builtinId="8" hidden="1"/>
    <cellStyle name="Hyperlink" xfId="2209" builtinId="8" hidden="1"/>
    <cellStyle name="Hyperlink" xfId="2211" builtinId="8" hidden="1"/>
    <cellStyle name="Hyperlink" xfId="2213" builtinId="8" hidden="1"/>
    <cellStyle name="Hyperlink" xfId="2215" builtinId="8" hidden="1"/>
    <cellStyle name="Hyperlink" xfId="2217" builtinId="8" hidden="1"/>
    <cellStyle name="Hyperlink" xfId="2219" builtinId="8" hidden="1"/>
    <cellStyle name="Hyperlink" xfId="2221" builtinId="8" hidden="1"/>
    <cellStyle name="Hyperlink" xfId="2223" builtinId="8" hidden="1"/>
    <cellStyle name="Hyperlink" xfId="2225" builtinId="8" hidden="1"/>
    <cellStyle name="Hyperlink" xfId="2227" builtinId="8" hidden="1"/>
    <cellStyle name="Hyperlink" xfId="2229" builtinId="8" hidden="1"/>
    <cellStyle name="Hyperlink" xfId="2231" builtinId="8" hidden="1"/>
    <cellStyle name="Hyperlink" xfId="2233" builtinId="8" hidden="1"/>
    <cellStyle name="Hyperlink" xfId="2235" builtinId="8" hidden="1"/>
    <cellStyle name="Hyperlink" xfId="2237" builtinId="8" hidden="1"/>
    <cellStyle name="Hyperlink" xfId="2239" builtinId="8" hidden="1"/>
    <cellStyle name="Hyperlink" xfId="2241" builtinId="8" hidden="1"/>
    <cellStyle name="Hyperlink" xfId="2243" builtinId="8" hidden="1"/>
    <cellStyle name="Hyperlink" xfId="2245" builtinId="8" hidden="1"/>
    <cellStyle name="Hyperlink" xfId="2247" builtinId="8" hidden="1"/>
    <cellStyle name="Hyperlink" xfId="2249" builtinId="8" hidden="1"/>
    <cellStyle name="Hyperlink" xfId="2251" builtinId="8" hidden="1"/>
    <cellStyle name="Hyperlink" xfId="2253" builtinId="8" hidden="1"/>
    <cellStyle name="Hyperlink" xfId="2255" builtinId="8" hidden="1"/>
    <cellStyle name="Hyperlink" xfId="2257" builtinId="8" hidden="1"/>
    <cellStyle name="Hyperlink" xfId="2259" builtinId="8" hidden="1"/>
    <cellStyle name="Hyperlink" xfId="2261" builtinId="8" hidden="1"/>
    <cellStyle name="Hyperlink" xfId="2263" builtinId="8" hidden="1"/>
    <cellStyle name="Hyperlink" xfId="2265" builtinId="8" hidden="1"/>
    <cellStyle name="Hyperlink" xfId="2267" builtinId="8" hidden="1"/>
    <cellStyle name="Hyperlink" xfId="2269" builtinId="8" hidden="1"/>
    <cellStyle name="Hyperlink" xfId="2271" builtinId="8" hidden="1"/>
    <cellStyle name="Hyperlink" xfId="2273" builtinId="8" hidden="1"/>
    <cellStyle name="Hyperlink" xfId="2275" builtinId="8" hidden="1"/>
    <cellStyle name="Hyperlink" xfId="2277" builtinId="8" hidden="1"/>
    <cellStyle name="Hyperlink" xfId="2279" builtinId="8" hidden="1"/>
    <cellStyle name="Hyperlink" xfId="2281" builtinId="8" hidden="1"/>
    <cellStyle name="Hyperlink" xfId="2283" builtinId="8" hidden="1"/>
    <cellStyle name="Hyperlink" xfId="2285" builtinId="8" hidden="1"/>
    <cellStyle name="Hyperlink" xfId="2287" builtinId="8" hidden="1"/>
    <cellStyle name="Hyperlink" xfId="2289" builtinId="8" hidden="1"/>
    <cellStyle name="Hyperlink" xfId="2291" builtinId="8" hidden="1"/>
    <cellStyle name="Hyperlink" xfId="2293" builtinId="8" hidden="1"/>
    <cellStyle name="Hyperlink" xfId="2295" builtinId="8" hidden="1"/>
    <cellStyle name="Hyperlink" xfId="2297" builtinId="8" hidden="1"/>
    <cellStyle name="Hyperlink" xfId="2299" builtinId="8" hidden="1"/>
    <cellStyle name="Hyperlink" xfId="2301" builtinId="8" hidden="1"/>
    <cellStyle name="Hyperlink" xfId="2303" builtinId="8" hidden="1"/>
    <cellStyle name="Hyperlink" xfId="2305" builtinId="8" hidden="1"/>
    <cellStyle name="Hyperlink" xfId="2307" builtinId="8" hidden="1"/>
    <cellStyle name="Hyperlink" xfId="2309" builtinId="8" hidden="1"/>
    <cellStyle name="Hyperlink" xfId="2311" builtinId="8" hidden="1"/>
    <cellStyle name="Hyperlink" xfId="2313" builtinId="8" hidden="1"/>
    <cellStyle name="Hyperlink" xfId="2315" builtinId="8" hidden="1"/>
    <cellStyle name="Hyperlink" xfId="2317" builtinId="8" hidden="1"/>
    <cellStyle name="Hyperlink" xfId="2319" builtinId="8" hidden="1"/>
    <cellStyle name="Hyperlink" xfId="2321" builtinId="8" hidden="1"/>
    <cellStyle name="Hyperlink" xfId="2323" builtinId="8" hidden="1"/>
    <cellStyle name="Hyperlink" xfId="2325" builtinId="8" hidden="1"/>
    <cellStyle name="Hyperlink" xfId="2327" builtinId="8" hidden="1"/>
    <cellStyle name="Hyperlink" xfId="2329" builtinId="8" hidden="1"/>
    <cellStyle name="Hyperlink" xfId="2331" builtinId="8" hidden="1"/>
    <cellStyle name="Hyperlink" xfId="2333" builtinId="8" hidden="1"/>
    <cellStyle name="Hyperlink" xfId="2335" builtinId="8" hidden="1"/>
    <cellStyle name="Hyperlink" xfId="2337" builtinId="8" hidden="1"/>
    <cellStyle name="Hyperlink" xfId="2339" builtinId="8" hidden="1"/>
    <cellStyle name="Hyperlink" xfId="2341" builtinId="8" hidden="1"/>
    <cellStyle name="Hyperlink" xfId="2343" builtinId="8" hidden="1"/>
    <cellStyle name="Hyperlink" xfId="2345" builtinId="8" hidden="1"/>
    <cellStyle name="Hyperlink" xfId="2347" builtinId="8" hidden="1"/>
    <cellStyle name="Hyperlink" xfId="2349" builtinId="8" hidden="1"/>
    <cellStyle name="Hyperlink" xfId="2351" builtinId="8" hidden="1"/>
    <cellStyle name="Hyperlink" xfId="2353" builtinId="8" hidden="1"/>
    <cellStyle name="Hyperlink" xfId="2355" builtinId="8" hidden="1"/>
    <cellStyle name="Hyperlink" xfId="2357" builtinId="8" hidden="1"/>
    <cellStyle name="Hyperlink" xfId="2359" builtinId="8" hidden="1"/>
    <cellStyle name="Hyperlink" xfId="2361" builtinId="8" hidden="1"/>
    <cellStyle name="Hyperlink" xfId="2363" builtinId="8" hidden="1"/>
    <cellStyle name="Hyperlink" xfId="2365" builtinId="8" hidden="1"/>
    <cellStyle name="Hyperlink" xfId="2367" builtinId="8" hidden="1"/>
    <cellStyle name="Hyperlink" xfId="2369" builtinId="8" hidden="1"/>
    <cellStyle name="Hyperlink" xfId="2371" builtinId="8" hidden="1"/>
    <cellStyle name="Hyperlink" xfId="2373" builtinId="8" hidden="1"/>
    <cellStyle name="Hyperlink" xfId="2375" builtinId="8" hidden="1"/>
    <cellStyle name="Hyperlink" xfId="2377" builtinId="8" hidden="1"/>
    <cellStyle name="Hyperlink" xfId="2379" builtinId="8" hidden="1"/>
    <cellStyle name="Hyperlink" xfId="2381" builtinId="8" hidden="1"/>
    <cellStyle name="Hyperlink" xfId="2383" builtinId="8" hidden="1"/>
    <cellStyle name="Hyperlink" xfId="2385" builtinId="8" hidden="1"/>
    <cellStyle name="Hyperlink" xfId="2387" builtinId="8" hidden="1"/>
    <cellStyle name="Hyperlink" xfId="2389" builtinId="8" hidden="1"/>
    <cellStyle name="Hyperlink" xfId="2391" builtinId="8" hidden="1"/>
    <cellStyle name="Hyperlink" xfId="2393" builtinId="8" hidden="1"/>
    <cellStyle name="Hyperlink" xfId="2395" builtinId="8" hidden="1"/>
    <cellStyle name="Hyperlink" xfId="2397" builtinId="8" hidden="1"/>
    <cellStyle name="Hyperlink" xfId="2399" builtinId="8" hidden="1"/>
    <cellStyle name="Hyperlink" xfId="2401" builtinId="8" hidden="1"/>
    <cellStyle name="Hyperlink" xfId="2403" builtinId="8" hidden="1"/>
    <cellStyle name="Hyperlink" xfId="2405" builtinId="8" hidden="1"/>
    <cellStyle name="Hyperlink" xfId="2407" builtinId="8" hidden="1"/>
    <cellStyle name="Hyperlink" xfId="2409" builtinId="8" hidden="1"/>
    <cellStyle name="Hyperlink" xfId="2411" builtinId="8" hidden="1"/>
    <cellStyle name="Hyperlink" xfId="2413" builtinId="8" hidden="1"/>
    <cellStyle name="Hyperlink" xfId="2415" builtinId="8" hidden="1"/>
    <cellStyle name="Hyperlink" xfId="2417" builtinId="8" hidden="1"/>
    <cellStyle name="Hyperlink" xfId="2419" builtinId="8" hidden="1"/>
    <cellStyle name="Hyperlink" xfId="2421" builtinId="8" hidden="1"/>
    <cellStyle name="Hyperlink" xfId="2423" builtinId="8" hidden="1"/>
    <cellStyle name="Hyperlink" xfId="2425" builtinId="8" hidden="1"/>
    <cellStyle name="Hyperlink" xfId="2427" builtinId="8" hidden="1"/>
    <cellStyle name="Hyperlink" xfId="2429" builtinId="8" hidden="1"/>
    <cellStyle name="Hyperlink" xfId="2431" builtinId="8" hidden="1"/>
    <cellStyle name="Hyperlink" xfId="2433" builtinId="8" hidden="1"/>
    <cellStyle name="Hyperlink" xfId="2435" builtinId="8" hidden="1"/>
    <cellStyle name="Hyperlink" xfId="2437" builtinId="8" hidden="1"/>
    <cellStyle name="Hyperlink" xfId="2439" builtinId="8" hidden="1"/>
    <cellStyle name="Hyperlink" xfId="2441" builtinId="8" hidden="1"/>
    <cellStyle name="Hyperlink" xfId="2443" builtinId="8" hidden="1"/>
    <cellStyle name="Hyperlink" xfId="2445" builtinId="8" hidden="1"/>
    <cellStyle name="Hyperlink" xfId="2447" builtinId="8" hidden="1"/>
    <cellStyle name="Hyperlink" xfId="2449" builtinId="8" hidden="1"/>
    <cellStyle name="Hyperlink" xfId="2451" builtinId="8" hidden="1"/>
    <cellStyle name="Hyperlink" xfId="2453" builtinId="8" hidden="1"/>
    <cellStyle name="Hyperlink" xfId="2455" builtinId="8" hidden="1"/>
    <cellStyle name="Hyperlink" xfId="2457" builtinId="8" hidden="1"/>
    <cellStyle name="Hyperlink" xfId="2459" builtinId="8" hidden="1"/>
    <cellStyle name="Hyperlink" xfId="2461" builtinId="8" hidden="1"/>
    <cellStyle name="Hyperlink" xfId="2463" builtinId="8" hidden="1"/>
    <cellStyle name="Hyperlink" xfId="2465" builtinId="8" hidden="1"/>
    <cellStyle name="Hyperlink" xfId="2467" builtinId="8" hidden="1"/>
    <cellStyle name="Hyperlink" xfId="2469" builtinId="8" hidden="1"/>
    <cellStyle name="Hyperlink" xfId="2471" builtinId="8" hidden="1"/>
    <cellStyle name="Hyperlink" xfId="2473" builtinId="8" hidden="1"/>
    <cellStyle name="Hyperlink" xfId="2475" builtinId="8" hidden="1"/>
    <cellStyle name="Hyperlink" xfId="2477" builtinId="8" hidden="1"/>
    <cellStyle name="Hyperlink" xfId="2479" builtinId="8"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hidden="1"/>
    <cellStyle name="Hyperlink" xfId="3445" builtinId="8" hidden="1"/>
    <cellStyle name="Hyperlink" xfId="3448" builtinId="8" hidden="1"/>
    <cellStyle name="Hyperlink" xfId="3450" builtinId="8" hidden="1"/>
    <cellStyle name="Hyperlink" xfId="3452" builtinId="8" hidden="1"/>
    <cellStyle name="Hyperlink" xfId="3454" builtinId="8" hidden="1"/>
    <cellStyle name="Hyperlink" xfId="3456" builtinId="8" hidden="1"/>
    <cellStyle name="Hyperlink" xfId="3458" builtinId="8" hidden="1"/>
    <cellStyle name="Hyperlink" xfId="3460" builtinId="8" hidden="1"/>
    <cellStyle name="Hyperlink" xfId="3462" builtinId="8" hidden="1"/>
    <cellStyle name="Hyperlink" xfId="3464" builtinId="8" hidden="1"/>
    <cellStyle name="Hyperlink" xfId="3466" builtinId="8" hidden="1"/>
    <cellStyle name="Hyperlink" xfId="3468" builtinId="8" hidden="1"/>
    <cellStyle name="Hyperlink" xfId="3470" builtinId="8" hidden="1"/>
    <cellStyle name="Hyperlink" xfId="3472" builtinId="8" hidden="1"/>
    <cellStyle name="Hyperlink" xfId="3474" builtinId="8" hidden="1"/>
    <cellStyle name="Hyperlink" xfId="3476" builtinId="8" hidden="1"/>
    <cellStyle name="Hyperlink" xfId="3478" builtinId="8" hidden="1"/>
    <cellStyle name="Hyperlink" xfId="3480" builtinId="8" hidden="1"/>
    <cellStyle name="Hyperlink" xfId="3482" builtinId="8" hidden="1"/>
    <cellStyle name="Hyperlink" xfId="3484" builtinId="8" hidden="1"/>
    <cellStyle name="Hyperlink" xfId="3486" builtinId="8" hidden="1"/>
    <cellStyle name="Hyperlink" xfId="3488" builtinId="8" hidden="1"/>
    <cellStyle name="Hyperlink" xfId="3490" builtinId="8" hidden="1"/>
    <cellStyle name="Hyperlink" xfId="3492" builtinId="8" hidden="1"/>
    <cellStyle name="Hyperlink" xfId="3494" builtinId="8" hidden="1"/>
    <cellStyle name="Hyperlink" xfId="3496" builtinId="8" hidden="1"/>
    <cellStyle name="Hyperlink" xfId="3498" builtinId="8" hidden="1"/>
    <cellStyle name="Hyperlink" xfId="3500" builtinId="8" hidden="1"/>
    <cellStyle name="Hyperlink" xfId="3502" builtinId="8" hidden="1"/>
    <cellStyle name="Hyperlink" xfId="3504" builtinId="8" hidden="1"/>
    <cellStyle name="Hyperlink" xfId="3506" builtinId="8" hidden="1"/>
    <cellStyle name="Hyperlink" xfId="3508" builtinId="8" hidden="1"/>
    <cellStyle name="Hyperlink" xfId="3510" builtinId="8" hidden="1"/>
    <cellStyle name="Hyperlink" xfId="3512" builtinId="8" hidden="1"/>
    <cellStyle name="Hyperlink" xfId="3514" builtinId="8" hidden="1"/>
    <cellStyle name="Hyperlink" xfId="3516" builtinId="8" hidden="1"/>
    <cellStyle name="Hyperlink" xfId="3518" builtinId="8" hidden="1"/>
    <cellStyle name="Hyperlink" xfId="3520" builtinId="8" hidden="1"/>
    <cellStyle name="Hyperlink" xfId="3522" builtinId="8" hidden="1"/>
    <cellStyle name="Hyperlink" xfId="3524" builtinId="8" hidden="1"/>
    <cellStyle name="Hyperlink" xfId="3526" builtinId="8" hidden="1"/>
    <cellStyle name="Hyperlink" xfId="3528" builtinId="8" hidden="1"/>
    <cellStyle name="Hyperlink" xfId="3530" builtinId="8" hidden="1"/>
    <cellStyle name="Hyperlink" xfId="3532" builtinId="8" hidden="1"/>
    <cellStyle name="Hyperlink" xfId="3534" builtinId="8" hidden="1"/>
    <cellStyle name="Hyperlink" xfId="3536" builtinId="8" hidden="1"/>
    <cellStyle name="Hyperlink" xfId="3538" builtinId="8" hidden="1"/>
    <cellStyle name="Hyperlink" xfId="3540" builtinId="8" hidden="1"/>
    <cellStyle name="Hyperlink" xfId="3542" builtinId="8" hidden="1"/>
    <cellStyle name="Hyperlink" xfId="3544" builtinId="8" hidden="1"/>
    <cellStyle name="Hyperlink" xfId="3546" builtinId="8" hidden="1"/>
    <cellStyle name="Hyperlink" xfId="3548" builtinId="8" hidden="1"/>
    <cellStyle name="Hyperlink" xfId="3550" builtinId="8" hidden="1"/>
    <cellStyle name="Hyperlink" xfId="3552" builtinId="8" hidden="1"/>
    <cellStyle name="Hyperlink" xfId="3554" builtinId="8" hidden="1"/>
    <cellStyle name="Hyperlink" xfId="3556" builtinId="8" hidden="1"/>
    <cellStyle name="Hyperlink" xfId="3558" builtinId="8" hidden="1"/>
    <cellStyle name="Normal" xfId="0" builtinId="0"/>
    <cellStyle name="Normal 2" xfId="338" xr:uid="{00000000-0005-0000-0000-0000E30D0000}"/>
    <cellStyle name="Normal 2 2" xfId="339" xr:uid="{00000000-0005-0000-0000-0000E40D0000}"/>
    <cellStyle name="Normal 2_Cash Flow by Week" xfId="1644" xr:uid="{00000000-0005-0000-0000-0000E50D0000}"/>
    <cellStyle name="Normal 3" xfId="337" xr:uid="{00000000-0005-0000-0000-0000E60D0000}"/>
    <cellStyle name="Percent 2" xfId="343" xr:uid="{00000000-0005-0000-0000-0000E70D0000}"/>
  </cellStyles>
  <dxfs count="4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colors>
    <mruColors>
      <color rgb="FFFF171B"/>
      <color rgb="FFFBFDA4"/>
      <color rgb="FFF4FC81"/>
      <color rgb="FF9B34C7"/>
      <color rgb="FFECFFE3"/>
      <color rgb="FFFFB5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16934</xdr:colOff>
      <xdr:row>5</xdr:row>
      <xdr:rowOff>8466</xdr:rowOff>
    </xdr:from>
    <xdr:to>
      <xdr:col>3</xdr:col>
      <xdr:colOff>922867</xdr:colOff>
      <xdr:row>5</xdr:row>
      <xdr:rowOff>169333</xdr:rowOff>
    </xdr:to>
    <xdr:sp macro="" textlink="">
      <xdr:nvSpPr>
        <xdr:cNvPr id="2" name="Striped Right Arrow 1">
          <a:extLst>
            <a:ext uri="{FF2B5EF4-FFF2-40B4-BE49-F238E27FC236}">
              <a16:creationId xmlns:a16="http://schemas.microsoft.com/office/drawing/2014/main" id="{00000000-0008-0000-0000-000002000000}"/>
            </a:ext>
          </a:extLst>
        </xdr:cNvPr>
        <xdr:cNvSpPr/>
      </xdr:nvSpPr>
      <xdr:spPr>
        <a:xfrm>
          <a:off x="5748867" y="1549399"/>
          <a:ext cx="905933" cy="160867"/>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550334</xdr:colOff>
      <xdr:row>4</xdr:row>
      <xdr:rowOff>601137</xdr:rowOff>
    </xdr:from>
    <xdr:to>
      <xdr:col>4</xdr:col>
      <xdr:colOff>1083733</xdr:colOff>
      <xdr:row>4</xdr:row>
      <xdr:rowOff>728137</xdr:rowOff>
    </xdr:to>
    <xdr:sp macro="" textlink="">
      <xdr:nvSpPr>
        <xdr:cNvPr id="3" name="Striped Right Arrow 2">
          <a:extLst>
            <a:ext uri="{FF2B5EF4-FFF2-40B4-BE49-F238E27FC236}">
              <a16:creationId xmlns:a16="http://schemas.microsoft.com/office/drawing/2014/main" id="{00000000-0008-0000-0000-000003000000}"/>
            </a:ext>
          </a:extLst>
        </xdr:cNvPr>
        <xdr:cNvSpPr/>
      </xdr:nvSpPr>
      <xdr:spPr>
        <a:xfrm rot="5400000">
          <a:off x="7450667" y="1176870"/>
          <a:ext cx="127000" cy="533399"/>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2875280</xdr:colOff>
      <xdr:row>5</xdr:row>
      <xdr:rowOff>0</xdr:rowOff>
    </xdr:from>
    <xdr:to>
      <xdr:col>14</xdr:col>
      <xdr:colOff>774700</xdr:colOff>
      <xdr:row>17</xdr:row>
      <xdr:rowOff>162560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75280" y="1046480"/>
          <a:ext cx="11554460" cy="2479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000"/>
            <a:t>Revenues are forecasted on the Cash Flow by Week - broken out specifically by client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1727200</xdr:colOff>
      <xdr:row>17</xdr:row>
      <xdr:rowOff>101600</xdr:rowOff>
    </xdr:from>
    <xdr:to>
      <xdr:col>17</xdr:col>
      <xdr:colOff>12700</xdr:colOff>
      <xdr:row>25</xdr:row>
      <xdr:rowOff>22861</xdr:rowOff>
    </xdr:to>
    <xdr:sp macro="" textlink="">
      <xdr:nvSpPr>
        <xdr:cNvPr id="5" name="Striped Right Arrow 4">
          <a:extLst>
            <a:ext uri="{FF2B5EF4-FFF2-40B4-BE49-F238E27FC236}">
              <a16:creationId xmlns:a16="http://schemas.microsoft.com/office/drawing/2014/main" id="{00000000-0008-0000-0200-000005000000}"/>
            </a:ext>
          </a:extLst>
        </xdr:cNvPr>
        <xdr:cNvSpPr/>
      </xdr:nvSpPr>
      <xdr:spPr>
        <a:xfrm>
          <a:off x="1727200" y="3898900"/>
          <a:ext cx="15392400" cy="1445261"/>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76200</xdr:colOff>
      <xdr:row>5</xdr:row>
      <xdr:rowOff>0</xdr:rowOff>
    </xdr:from>
    <xdr:to>
      <xdr:col>30</xdr:col>
      <xdr:colOff>495300</xdr:colOff>
      <xdr:row>28</xdr:row>
      <xdr:rowOff>25400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7183100" y="1028700"/>
          <a:ext cx="9169400" cy="44069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n-US" sz="2000" b="1" i="0" u="none" strike="noStrike" baseline="0">
              <a:solidFill>
                <a:schemeClr val="tx1"/>
              </a:solidFill>
              <a:latin typeface="+mn-lt"/>
              <a:ea typeface="Calibri"/>
              <a:cs typeface="Calibri"/>
            </a:rPr>
            <a:t>Forecasting your Cost of Goods Sold</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Accurately reporting your COGS is so very important, because it will help you to understand what your gross margin is, be it a unit, batch, service, or production. You pay your operating expenses with Gross Profit. You must have 2 options - make enough to cover your expenses, or raise money.</a:t>
          </a:r>
        </a:p>
        <a:p>
          <a:pPr marL="0" marR="0" indent="0" algn="l" defTabSz="914400" rtl="0" eaLnBrk="1" fontAlgn="auto" latinLnBrk="0" hangingPunct="1">
            <a:lnSpc>
              <a:spcPct val="100000"/>
            </a:lnSpc>
            <a:spcBef>
              <a:spcPts val="0"/>
            </a:spcBef>
            <a:spcAft>
              <a:spcPts val="0"/>
            </a:spcAft>
            <a:buClrTx/>
            <a:buSzTx/>
            <a:buFontTx/>
            <a:buNone/>
            <a:tabLst/>
            <a:defRPr/>
          </a:pPr>
          <a:endParaRPr lang="en-US" sz="1100" b="0" i="0" u="none" strike="noStrike" baseline="0">
            <a:solidFill>
              <a:schemeClr val="tx1"/>
            </a:solidFill>
            <a:latin typeface="+mn-lt"/>
            <a:ea typeface="Calibri"/>
            <a:cs typeface="Calibri"/>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tx1"/>
              </a:solidFill>
              <a:latin typeface="+mn-lt"/>
              <a:ea typeface="Calibri"/>
              <a:cs typeface="Calibri"/>
            </a:rPr>
            <a:t>Drivers of COGS</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How do your COGS behave and what drives them up or down? </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Are they directly related to </a:t>
          </a:r>
          <a:r>
            <a:rPr lang="en-US" sz="1100" b="1" i="1" u="none" strike="noStrike" baseline="0">
              <a:solidFill>
                <a:schemeClr val="tx1"/>
              </a:solidFill>
              <a:latin typeface="+mn-lt"/>
              <a:ea typeface="Calibri"/>
              <a:cs typeface="Calibri"/>
            </a:rPr>
            <a:t>revenues</a:t>
          </a:r>
          <a:r>
            <a:rPr lang="en-US" sz="1100" b="0" i="0" u="none" strike="noStrike" baseline="0">
              <a:solidFill>
                <a:schemeClr val="tx1"/>
              </a:solidFill>
              <a:latin typeface="+mn-lt"/>
              <a:ea typeface="Calibri"/>
              <a:cs typeface="Calibri"/>
            </a:rPr>
            <a:t> and the </a:t>
          </a:r>
          <a:r>
            <a:rPr lang="en-US" sz="1100" b="1" i="1" u="none" strike="noStrike" baseline="0">
              <a:solidFill>
                <a:schemeClr val="tx1"/>
              </a:solidFill>
              <a:latin typeface="+mn-lt"/>
              <a:ea typeface="Calibri"/>
              <a:cs typeface="Calibri"/>
            </a:rPr>
            <a:t>amount of product sold</a:t>
          </a:r>
          <a:r>
            <a:rPr lang="en-US" sz="1100" b="0" i="0" u="none" strike="noStrike" baseline="0">
              <a:solidFill>
                <a:schemeClr val="tx1"/>
              </a:solidFill>
              <a:latin typeface="+mn-lt"/>
              <a:ea typeface="Calibri"/>
              <a:cs typeface="Calibri"/>
            </a:rPr>
            <a:t>? </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Do you have </a:t>
          </a:r>
          <a:r>
            <a:rPr lang="en-US" sz="1100" b="1" i="1" u="none" strike="noStrike" baseline="0">
              <a:solidFill>
                <a:schemeClr val="tx1"/>
              </a:solidFill>
              <a:latin typeface="+mn-lt"/>
              <a:ea typeface="Calibri"/>
              <a:cs typeface="Calibri"/>
            </a:rPr>
            <a:t>fixed COGS</a:t>
          </a:r>
          <a:r>
            <a:rPr lang="en-US" sz="1100" b="0" i="0" u="none" strike="noStrike" baseline="0">
              <a:solidFill>
                <a:schemeClr val="tx1"/>
              </a:solidFill>
              <a:latin typeface="+mn-lt"/>
              <a:ea typeface="Calibri"/>
              <a:cs typeface="Calibri"/>
            </a:rPr>
            <a:t>, which you'll incur regardless of the amount of revenue, work, or product sold? </a:t>
          </a:r>
        </a:p>
        <a:p>
          <a:pPr marL="0" marR="0" lvl="0" indent="0" algn="l" defTabSz="914400" rtl="0" eaLnBrk="1" fontAlgn="auto" latinLnBrk="0" hangingPunct="1">
            <a:lnSpc>
              <a:spcPct val="100000"/>
            </a:lnSpc>
            <a:spcBef>
              <a:spcPts val="0"/>
            </a:spcBef>
            <a:spcAft>
              <a:spcPts val="0"/>
            </a:spcAft>
            <a:buClrTx/>
            <a:buSzTx/>
            <a:buFontTx/>
            <a:buNone/>
            <a:tabLst/>
            <a:defRPr/>
          </a:pPr>
          <a:endParaRPr lang="en-US" sz="1100" b="1" i="0" u="sng" strike="noStrike" baseline="0">
            <a:solidFill>
              <a:schemeClr val="tx1"/>
            </a:solidFill>
            <a:latin typeface="+mn-lt"/>
            <a:ea typeface="Calibri"/>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tx1"/>
              </a:solidFill>
              <a:latin typeface="+mn-lt"/>
              <a:ea typeface="Calibri"/>
              <a:cs typeface="Calibri"/>
            </a:rPr>
            <a:t>What is included in COGS</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What are you including in COGS and how to forecast it? </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tx1"/>
              </a:solidFill>
              <a:latin typeface="+mn-lt"/>
              <a:ea typeface="Calibri"/>
              <a:cs typeface="Calibri"/>
            </a:rPr>
            <a:t>Labor </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	How many hours does it take to make a unit?</a:t>
          </a:r>
        </a:p>
        <a:p>
          <a:pPr marL="914400" marR="0" lvl="2"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	What are your actuals from previous weeks/months?</a:t>
          </a:r>
        </a:p>
        <a:p>
          <a:pPr marL="914400" marR="0" lvl="2"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How many units will you make next week/month?</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tx1"/>
              </a:solidFill>
              <a:latin typeface="+mn-lt"/>
              <a:ea typeface="Calibri"/>
              <a:cs typeface="Calibri"/>
            </a:rPr>
            <a:t>Merchant fees</a:t>
          </a:r>
        </a:p>
        <a:p>
          <a:pPr marL="914400" marR="0" lvl="2"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Are you selling your goods online through Square // Stripe // Shopify -&gt; What do they charge?</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tx1"/>
              </a:solidFill>
              <a:latin typeface="+mn-lt"/>
              <a:ea typeface="Calibri"/>
              <a:cs typeface="Calibri"/>
            </a:rPr>
            <a:t>Inventory or Product</a:t>
          </a:r>
          <a:endParaRPr lang="en-US" sz="1100" b="0" i="0" u="none" strike="noStrike" baseline="0">
            <a:solidFill>
              <a:schemeClr val="tx1"/>
            </a:solidFill>
            <a:latin typeface="+mn-lt"/>
            <a:ea typeface="Calibri"/>
            <a:cs typeface="Calibri"/>
          </a:endParaRPr>
        </a:p>
        <a:p>
          <a:pPr marL="914400" marR="0" lvl="2"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How much product do you buy at one time? </a:t>
          </a:r>
        </a:p>
        <a:p>
          <a:pPr marL="914400" marR="0" lvl="2"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How much will you need to buy to fill demand over the next week(s)/month(s)?</a:t>
          </a:r>
        </a:p>
        <a:p>
          <a:pPr marL="914400" marR="0" lvl="2"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What is the lead time on that product? </a:t>
          </a:r>
        </a:p>
        <a:p>
          <a:pPr marL="914400" marR="0" lvl="2"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Do you need to buy at certain levels to get a price discount - is it worth it?</a:t>
          </a:r>
        </a:p>
        <a:p>
          <a:pPr marL="914400" marR="0" lvl="2"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Manufactured and/or purchased product </a:t>
          </a:r>
        </a:p>
      </xdr:txBody>
    </xdr:sp>
    <xdr:clientData/>
  </xdr:twoCellAnchor>
  <xdr:twoCellAnchor>
    <xdr:from>
      <xdr:col>0</xdr:col>
      <xdr:colOff>1435100</xdr:colOff>
      <xdr:row>51</xdr:row>
      <xdr:rowOff>127000</xdr:rowOff>
    </xdr:from>
    <xdr:to>
      <xdr:col>14</xdr:col>
      <xdr:colOff>736600</xdr:colOff>
      <xdr:row>57</xdr:row>
      <xdr:rowOff>177800</xdr:rowOff>
    </xdr:to>
    <xdr:sp macro="" textlink="">
      <xdr:nvSpPr>
        <xdr:cNvPr id="10" name="Striped Right Arrow 9">
          <a:extLst>
            <a:ext uri="{FF2B5EF4-FFF2-40B4-BE49-F238E27FC236}">
              <a16:creationId xmlns:a16="http://schemas.microsoft.com/office/drawing/2014/main" id="{00000000-0008-0000-0200-00000A000000}"/>
            </a:ext>
          </a:extLst>
        </xdr:cNvPr>
        <xdr:cNvSpPr/>
      </xdr:nvSpPr>
      <xdr:spPr>
        <a:xfrm>
          <a:off x="1435100" y="7823200"/>
          <a:ext cx="12928600" cy="1193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88900</xdr:colOff>
      <xdr:row>51</xdr:row>
      <xdr:rowOff>165100</xdr:rowOff>
    </xdr:from>
    <xdr:to>
      <xdr:col>17</xdr:col>
      <xdr:colOff>228600</xdr:colOff>
      <xdr:row>58</xdr:row>
      <xdr:rowOff>25400</xdr:rowOff>
    </xdr:to>
    <xdr:sp macro="" textlink="">
      <xdr:nvSpPr>
        <xdr:cNvPr id="11" name="Striped Right Arrow 10">
          <a:extLst>
            <a:ext uri="{FF2B5EF4-FFF2-40B4-BE49-F238E27FC236}">
              <a16:creationId xmlns:a16="http://schemas.microsoft.com/office/drawing/2014/main" id="{00000000-0008-0000-0200-00000B000000}"/>
            </a:ext>
          </a:extLst>
        </xdr:cNvPr>
        <xdr:cNvSpPr/>
      </xdr:nvSpPr>
      <xdr:spPr>
        <a:xfrm>
          <a:off x="16522700" y="7861300"/>
          <a:ext cx="812800" cy="1193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444500</xdr:colOff>
      <xdr:row>51</xdr:row>
      <xdr:rowOff>165100</xdr:rowOff>
    </xdr:from>
    <xdr:to>
      <xdr:col>29</xdr:col>
      <xdr:colOff>304800</xdr:colOff>
      <xdr:row>58</xdr:row>
      <xdr:rowOff>101600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7551400" y="7861300"/>
          <a:ext cx="7937500" cy="1270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n-US" sz="2000" b="1" i="0" u="sng" strike="noStrike" baseline="0">
              <a:solidFill>
                <a:schemeClr val="tx1"/>
              </a:solidFill>
              <a:latin typeface="+mn-lt"/>
              <a:ea typeface="Calibri"/>
              <a:cs typeface="Calibri"/>
            </a:rPr>
            <a:t>Forecasting your Travel &amp; Entertainment (T&amp;E) Spend</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Travel can be one of the biggest expenses a business incurs, behind Payroll - you must take a look at your business and really pull apart what you must do to sell, produce, or deliver your product.</a:t>
          </a:r>
        </a:p>
        <a:p>
          <a:pPr marL="0" marR="0" indent="0" algn="l" defTabSz="914400" rtl="0" eaLnBrk="1" fontAlgn="auto" latinLnBrk="0" hangingPunct="1">
            <a:lnSpc>
              <a:spcPct val="100000"/>
            </a:lnSpc>
            <a:spcBef>
              <a:spcPts val="0"/>
            </a:spcBef>
            <a:spcAft>
              <a:spcPts val="0"/>
            </a:spcAft>
            <a:buClrTx/>
            <a:buSzTx/>
            <a:buFontTx/>
            <a:buNone/>
            <a:tabLst/>
            <a:defRPr/>
          </a:pPr>
          <a:endParaRPr lang="en-US" sz="1100" b="0" i="0" u="none" strike="noStrike" baseline="0">
            <a:solidFill>
              <a:schemeClr val="tx1"/>
            </a:solidFill>
            <a:latin typeface="+mn-lt"/>
            <a:ea typeface="Calibri"/>
            <a:cs typeface="Calibri"/>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Look to the "T&amp;E Budget" tab for a more indepth analysis of how to forecast your travel spend.</a:t>
          </a:r>
        </a:p>
      </xdr:txBody>
    </xdr:sp>
    <xdr:clientData/>
  </xdr:twoCellAnchor>
  <xdr:twoCellAnchor>
    <xdr:from>
      <xdr:col>0</xdr:col>
      <xdr:colOff>2870200</xdr:colOff>
      <xdr:row>5</xdr:row>
      <xdr:rowOff>12700</xdr:rowOff>
    </xdr:from>
    <xdr:to>
      <xdr:col>14</xdr:col>
      <xdr:colOff>749300</xdr:colOff>
      <xdr:row>16</xdr:row>
      <xdr:rowOff>177800</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2870200" y="1041400"/>
          <a:ext cx="11506200" cy="22606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n-US" sz="2000" b="1" i="0" u="none" strike="noStrike" baseline="0">
              <a:solidFill>
                <a:schemeClr val="tx1"/>
              </a:solidFill>
              <a:latin typeface="+mn-lt"/>
              <a:ea typeface="Calibri"/>
              <a:cs typeface="Calibri"/>
            </a:rPr>
            <a:t>Forecasting your Revenues</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Being able to accurately forecast your revenues is the first and most important step in getting your cash flow set up. You need to understand the following things to be able to get your </a:t>
          </a:r>
          <a:r>
            <a:rPr lang="en-US" sz="1100" b="1" i="0" u="none" strike="noStrike" baseline="0">
              <a:solidFill>
                <a:schemeClr val="tx1"/>
              </a:solidFill>
              <a:latin typeface="+mn-lt"/>
              <a:ea typeface="Calibri"/>
              <a:cs typeface="Calibri"/>
            </a:rPr>
            <a:t>CASH IN</a:t>
          </a:r>
          <a:r>
            <a:rPr lang="en-US" sz="1100" b="0" i="0" u="none" strike="noStrike" baseline="0">
              <a:solidFill>
                <a:schemeClr val="tx1"/>
              </a:solidFill>
              <a:latin typeface="+mn-lt"/>
              <a:ea typeface="Calibri"/>
              <a:cs typeface="Calibri"/>
            </a:rPr>
            <a:t> accurately forecasted:</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Contracted payment terms</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Contract Amounts</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Client Payment Terms</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How the client will pay - by check or by wire?</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What is your </a:t>
          </a:r>
          <a:r>
            <a:rPr lang="en-US" sz="1100" b="1" i="0" u="none" strike="noStrike" baseline="0">
              <a:solidFill>
                <a:schemeClr val="tx1"/>
              </a:solidFill>
              <a:latin typeface="+mn-lt"/>
              <a:ea typeface="Calibri"/>
              <a:cs typeface="Calibri"/>
            </a:rPr>
            <a:t>PIPELINE?</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	What is the probability it will close?</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	How long will it take to close - who is the contract with (small business // enterprise?), negotiation timline , how much legal will it go through, etc...</a:t>
          </a:r>
        </a:p>
        <a:p>
          <a:pPr marL="457200" marR="0" lvl="1"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	What is the process for getting set up as a vendor - how long will this take?</a:t>
          </a:r>
        </a:p>
      </xdr:txBody>
    </xdr:sp>
    <xdr:clientData/>
  </xdr:twoCellAnchor>
  <xdr:twoCellAnchor>
    <xdr:from>
      <xdr:col>0</xdr:col>
      <xdr:colOff>1473200</xdr:colOff>
      <xdr:row>67</xdr:row>
      <xdr:rowOff>63500</xdr:rowOff>
    </xdr:from>
    <xdr:to>
      <xdr:col>14</xdr:col>
      <xdr:colOff>774700</xdr:colOff>
      <xdr:row>73</xdr:row>
      <xdr:rowOff>0</xdr:rowOff>
    </xdr:to>
    <xdr:sp macro="" textlink="">
      <xdr:nvSpPr>
        <xdr:cNvPr id="14" name="Striped Right Arrow 13">
          <a:extLst>
            <a:ext uri="{FF2B5EF4-FFF2-40B4-BE49-F238E27FC236}">
              <a16:creationId xmlns:a16="http://schemas.microsoft.com/office/drawing/2014/main" id="{00000000-0008-0000-0200-00000E000000}"/>
            </a:ext>
          </a:extLst>
        </xdr:cNvPr>
        <xdr:cNvSpPr/>
      </xdr:nvSpPr>
      <xdr:spPr>
        <a:xfrm>
          <a:off x="1473200" y="13284200"/>
          <a:ext cx="12928600" cy="1193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63500</xdr:colOff>
      <xdr:row>68</xdr:row>
      <xdr:rowOff>0</xdr:rowOff>
    </xdr:from>
    <xdr:to>
      <xdr:col>17</xdr:col>
      <xdr:colOff>203200</xdr:colOff>
      <xdr:row>73</xdr:row>
      <xdr:rowOff>0</xdr:rowOff>
    </xdr:to>
    <xdr:sp macro="" textlink="">
      <xdr:nvSpPr>
        <xdr:cNvPr id="15" name="Striped Right Arrow 14">
          <a:extLst>
            <a:ext uri="{FF2B5EF4-FFF2-40B4-BE49-F238E27FC236}">
              <a16:creationId xmlns:a16="http://schemas.microsoft.com/office/drawing/2014/main" id="{00000000-0008-0000-0200-00000F000000}"/>
            </a:ext>
          </a:extLst>
        </xdr:cNvPr>
        <xdr:cNvSpPr/>
      </xdr:nvSpPr>
      <xdr:spPr>
        <a:xfrm>
          <a:off x="16497300" y="13411200"/>
          <a:ext cx="812800" cy="1193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419100</xdr:colOff>
      <xdr:row>67</xdr:row>
      <xdr:rowOff>38100</xdr:rowOff>
    </xdr:from>
    <xdr:to>
      <xdr:col>29</xdr:col>
      <xdr:colOff>279400</xdr:colOff>
      <xdr:row>73</xdr:row>
      <xdr:rowOff>0</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7526000" y="13258800"/>
          <a:ext cx="7937500" cy="1244600"/>
        </a:xfrm>
        <a:prstGeom prst="rect">
          <a:avLst/>
        </a:prstGeom>
        <a:solidFill>
          <a:srgbClr val="FBFDA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n-US" sz="2000" b="1" i="0" u="sng" strike="noStrike" baseline="0">
              <a:solidFill>
                <a:schemeClr val="tx1"/>
              </a:solidFill>
              <a:latin typeface="+mn-lt"/>
              <a:ea typeface="Calibri"/>
              <a:cs typeface="Calibri"/>
            </a:rPr>
            <a:t>Forecasting your Headcount // Payroll Spend</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Payroll is your biggest expenses, and you need to map it out in detail to really understand what costs you will be paying. Will you have employees (W2) or contractors (1099)? Do you understand the regulations and laws regarding both (THIS IS VERY IMPORTANT)? What is your pay schedule?</a:t>
          </a:r>
        </a:p>
        <a:p>
          <a:pPr marL="0" marR="0" indent="0" algn="l" defTabSz="914400" rtl="0" eaLnBrk="1" fontAlgn="auto" latinLnBrk="0" hangingPunct="1">
            <a:lnSpc>
              <a:spcPct val="100000"/>
            </a:lnSpc>
            <a:spcBef>
              <a:spcPts val="0"/>
            </a:spcBef>
            <a:spcAft>
              <a:spcPts val="0"/>
            </a:spcAft>
            <a:buClrTx/>
            <a:buSzTx/>
            <a:buFontTx/>
            <a:buNone/>
            <a:tabLst/>
            <a:defRPr/>
          </a:pPr>
          <a:endParaRPr lang="en-US" sz="1100" b="0" i="0" u="none" strike="noStrike" baseline="0">
            <a:solidFill>
              <a:schemeClr val="tx1"/>
            </a:solidFill>
            <a:latin typeface="+mn-lt"/>
            <a:ea typeface="Calibri"/>
            <a:cs typeface="Calibri"/>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Look to the "Headcount Budget" tab for more details on how to forecast your payroll expenses</a:t>
          </a:r>
        </a:p>
      </xdr:txBody>
    </xdr:sp>
    <xdr:clientData/>
  </xdr:twoCellAnchor>
  <xdr:twoCellAnchor>
    <xdr:from>
      <xdr:col>16</xdr:col>
      <xdr:colOff>38100</xdr:colOff>
      <xdr:row>32</xdr:row>
      <xdr:rowOff>12700</xdr:rowOff>
    </xdr:from>
    <xdr:to>
      <xdr:col>17</xdr:col>
      <xdr:colOff>266700</xdr:colOff>
      <xdr:row>34</xdr:row>
      <xdr:rowOff>165100</xdr:rowOff>
    </xdr:to>
    <xdr:sp macro="" textlink="">
      <xdr:nvSpPr>
        <xdr:cNvPr id="17" name="Striped Right Arrow 16">
          <a:extLst>
            <a:ext uri="{FF2B5EF4-FFF2-40B4-BE49-F238E27FC236}">
              <a16:creationId xmlns:a16="http://schemas.microsoft.com/office/drawing/2014/main" id="{00000000-0008-0000-0200-000011000000}"/>
            </a:ext>
          </a:extLst>
        </xdr:cNvPr>
        <xdr:cNvSpPr/>
      </xdr:nvSpPr>
      <xdr:spPr>
        <a:xfrm>
          <a:off x="16471900" y="6565900"/>
          <a:ext cx="901700" cy="5334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584200</xdr:colOff>
      <xdr:row>32</xdr:row>
      <xdr:rowOff>0</xdr:rowOff>
    </xdr:from>
    <xdr:to>
      <xdr:col>29</xdr:col>
      <xdr:colOff>444500</xdr:colOff>
      <xdr:row>35</xdr:row>
      <xdr:rowOff>127000</xdr:rowOff>
    </xdr:to>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17691100" y="6553200"/>
          <a:ext cx="7937500" cy="6985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n-US" sz="1500" b="1" i="0" u="sng" strike="noStrike" baseline="0">
              <a:solidFill>
                <a:schemeClr val="tx1"/>
              </a:solidFill>
              <a:latin typeface="+mn-lt"/>
              <a:ea typeface="Calibri"/>
              <a:cs typeface="Calibri"/>
            </a:rPr>
            <a:t>OpEx - Insurance</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Proper insurance coverage is important to mitigating the company's and the owner's risk exposure. </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How are you paying for it - prepaid // monthly?</a:t>
          </a:r>
        </a:p>
      </xdr:txBody>
    </xdr:sp>
    <xdr:clientData/>
  </xdr:twoCellAnchor>
  <xdr:twoCellAnchor>
    <xdr:from>
      <xdr:col>16</xdr:col>
      <xdr:colOff>0</xdr:colOff>
      <xdr:row>39</xdr:row>
      <xdr:rowOff>0</xdr:rowOff>
    </xdr:from>
    <xdr:to>
      <xdr:col>17</xdr:col>
      <xdr:colOff>228600</xdr:colOff>
      <xdr:row>41</xdr:row>
      <xdr:rowOff>152400</xdr:rowOff>
    </xdr:to>
    <xdr:sp macro="" textlink="">
      <xdr:nvSpPr>
        <xdr:cNvPr id="20" name="Striped Right Arrow 19">
          <a:extLst>
            <a:ext uri="{FF2B5EF4-FFF2-40B4-BE49-F238E27FC236}">
              <a16:creationId xmlns:a16="http://schemas.microsoft.com/office/drawing/2014/main" id="{00000000-0008-0000-0200-000014000000}"/>
            </a:ext>
          </a:extLst>
        </xdr:cNvPr>
        <xdr:cNvSpPr/>
      </xdr:nvSpPr>
      <xdr:spPr>
        <a:xfrm>
          <a:off x="16433800" y="7886700"/>
          <a:ext cx="901700" cy="5334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533400</xdr:colOff>
      <xdr:row>37</xdr:row>
      <xdr:rowOff>177800</xdr:rowOff>
    </xdr:from>
    <xdr:to>
      <xdr:col>29</xdr:col>
      <xdr:colOff>393700</xdr:colOff>
      <xdr:row>42</xdr:row>
      <xdr:rowOff>114300</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17640300" y="7683500"/>
          <a:ext cx="7937500" cy="889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n-US" sz="1500" b="1" i="0" u="sng" strike="noStrike" baseline="0">
              <a:solidFill>
                <a:schemeClr val="tx1"/>
              </a:solidFill>
              <a:latin typeface="+mn-lt"/>
              <a:ea typeface="Calibri"/>
              <a:cs typeface="Calibri"/>
            </a:rPr>
            <a:t>OpEx - Professional Services</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Professional services can become quite expensive if not managed properly. </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What services will you contract out? Do you foresee incurring certain legal, accounting, or development expenses? What are the payment terms?</a:t>
          </a:r>
        </a:p>
      </xdr:txBody>
    </xdr:sp>
    <xdr:clientData/>
  </xdr:twoCellAnchor>
  <xdr:twoCellAnchor>
    <xdr:from>
      <xdr:col>16</xdr:col>
      <xdr:colOff>63500</xdr:colOff>
      <xdr:row>61</xdr:row>
      <xdr:rowOff>63500</xdr:rowOff>
    </xdr:from>
    <xdr:to>
      <xdr:col>17</xdr:col>
      <xdr:colOff>127000</xdr:colOff>
      <xdr:row>64</xdr:row>
      <xdr:rowOff>0</xdr:rowOff>
    </xdr:to>
    <xdr:sp macro="" textlink="">
      <xdr:nvSpPr>
        <xdr:cNvPr id="22" name="Striped Right Arrow 21">
          <a:extLst>
            <a:ext uri="{FF2B5EF4-FFF2-40B4-BE49-F238E27FC236}">
              <a16:creationId xmlns:a16="http://schemas.microsoft.com/office/drawing/2014/main" id="{00000000-0008-0000-0200-000016000000}"/>
            </a:ext>
          </a:extLst>
        </xdr:cNvPr>
        <xdr:cNvSpPr/>
      </xdr:nvSpPr>
      <xdr:spPr>
        <a:xfrm>
          <a:off x="16497300" y="12141200"/>
          <a:ext cx="736600" cy="5080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406400</xdr:colOff>
      <xdr:row>60</xdr:row>
      <xdr:rowOff>88900</xdr:rowOff>
    </xdr:from>
    <xdr:to>
      <xdr:col>29</xdr:col>
      <xdr:colOff>266700</xdr:colOff>
      <xdr:row>64</xdr:row>
      <xdr:rowOff>114300</xdr:rowOff>
    </xdr:to>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17513300" y="11976100"/>
          <a:ext cx="7937500" cy="7874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en-US" sz="1500" b="1" i="0" u="sng" strike="noStrike" baseline="0">
              <a:solidFill>
                <a:schemeClr val="tx1"/>
              </a:solidFill>
              <a:latin typeface="+mn-lt"/>
              <a:ea typeface="Calibri"/>
              <a:cs typeface="Calibri"/>
            </a:rPr>
            <a:t>OpEx - R&amp;D // Engineering</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R&amp;D and Engineering expenses can become quite expensive - it is important to accurately forecast them.</a:t>
          </a:r>
        </a:p>
        <a:p>
          <a:pPr marL="0" marR="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tx1"/>
              </a:solidFill>
              <a:latin typeface="+mn-lt"/>
              <a:ea typeface="Calibri"/>
              <a:cs typeface="Calibri"/>
            </a:rPr>
            <a:t>Will you pay for outsourced development contractors? Will you be paying for engineering "Dues and Subscriptions"?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60960</xdr:colOff>
      <xdr:row>1</xdr:row>
      <xdr:rowOff>30480</xdr:rowOff>
    </xdr:from>
    <xdr:to>
      <xdr:col>18</xdr:col>
      <xdr:colOff>193040</xdr:colOff>
      <xdr:row>3</xdr:row>
      <xdr:rowOff>182880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3451840" y="223520"/>
          <a:ext cx="2600960" cy="53848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1) Enter the number of people taking trips each month</a:t>
          </a:r>
        </a:p>
      </xdr:txBody>
    </xdr:sp>
    <xdr:clientData/>
  </xdr:twoCellAnchor>
  <xdr:twoCellAnchor>
    <xdr:from>
      <xdr:col>14</xdr:col>
      <xdr:colOff>203200</xdr:colOff>
      <xdr:row>1</xdr:row>
      <xdr:rowOff>152400</xdr:rowOff>
    </xdr:from>
    <xdr:to>
      <xdr:col>14</xdr:col>
      <xdr:colOff>800100</xdr:colOff>
      <xdr:row>3</xdr:row>
      <xdr:rowOff>71120</xdr:rowOff>
    </xdr:to>
    <xdr:sp macro="" textlink="">
      <xdr:nvSpPr>
        <xdr:cNvPr id="3" name="Striped Right Arrow 2">
          <a:extLst>
            <a:ext uri="{FF2B5EF4-FFF2-40B4-BE49-F238E27FC236}">
              <a16:creationId xmlns:a16="http://schemas.microsoft.com/office/drawing/2014/main" id="{00000000-0008-0000-0300-000003000000}"/>
            </a:ext>
          </a:extLst>
        </xdr:cNvPr>
        <xdr:cNvSpPr/>
      </xdr:nvSpPr>
      <xdr:spPr>
        <a:xfrm>
          <a:off x="12771120" y="345440"/>
          <a:ext cx="596900" cy="304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182880</xdr:colOff>
      <xdr:row>5</xdr:row>
      <xdr:rowOff>71120</xdr:rowOff>
    </xdr:from>
    <xdr:to>
      <xdr:col>14</xdr:col>
      <xdr:colOff>779780</xdr:colOff>
      <xdr:row>6</xdr:row>
      <xdr:rowOff>182880</xdr:rowOff>
    </xdr:to>
    <xdr:sp macro="" textlink="">
      <xdr:nvSpPr>
        <xdr:cNvPr id="4" name="Striped Right Arrow 3">
          <a:extLst>
            <a:ext uri="{FF2B5EF4-FFF2-40B4-BE49-F238E27FC236}">
              <a16:creationId xmlns:a16="http://schemas.microsoft.com/office/drawing/2014/main" id="{00000000-0008-0000-0300-000004000000}"/>
            </a:ext>
          </a:extLst>
        </xdr:cNvPr>
        <xdr:cNvSpPr/>
      </xdr:nvSpPr>
      <xdr:spPr>
        <a:xfrm>
          <a:off x="12750800" y="1036320"/>
          <a:ext cx="596900" cy="304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91440</xdr:colOff>
      <xdr:row>5</xdr:row>
      <xdr:rowOff>0</xdr:rowOff>
    </xdr:from>
    <xdr:to>
      <xdr:col>18</xdr:col>
      <xdr:colOff>223520</xdr:colOff>
      <xdr:row>7</xdr:row>
      <xdr:rowOff>152400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3482320" y="965200"/>
          <a:ext cx="2600960" cy="53848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2) Enter the number of domestic vs. international trips</a:t>
          </a:r>
        </a:p>
      </xdr:txBody>
    </xdr:sp>
    <xdr:clientData/>
  </xdr:twoCellAnchor>
  <xdr:twoCellAnchor>
    <xdr:from>
      <xdr:col>6</xdr:col>
      <xdr:colOff>304800</xdr:colOff>
      <xdr:row>37</xdr:row>
      <xdr:rowOff>20320</xdr:rowOff>
    </xdr:from>
    <xdr:to>
      <xdr:col>9</xdr:col>
      <xdr:colOff>609600</xdr:colOff>
      <xdr:row>41</xdr:row>
      <xdr:rowOff>30480</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6289040" y="7162800"/>
          <a:ext cx="2773680" cy="7823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5) The result is your T&amp;E Budget by month, which is then split into weeks - make sure if you change things it connects to the proper month</a:t>
          </a:r>
        </a:p>
      </xdr:txBody>
    </xdr:sp>
    <xdr:clientData/>
  </xdr:twoCellAnchor>
  <xdr:twoCellAnchor>
    <xdr:from>
      <xdr:col>5</xdr:col>
      <xdr:colOff>95250</xdr:colOff>
      <xdr:row>31</xdr:row>
      <xdr:rowOff>128270</xdr:rowOff>
    </xdr:from>
    <xdr:to>
      <xdr:col>10</xdr:col>
      <xdr:colOff>508000</xdr:colOff>
      <xdr:row>36</xdr:row>
      <xdr:rowOff>91440</xdr:rowOff>
    </xdr:to>
    <xdr:sp macro="" textlink="">
      <xdr:nvSpPr>
        <xdr:cNvPr id="12" name="Striped Right Arrow 11">
          <a:extLst>
            <a:ext uri="{FF2B5EF4-FFF2-40B4-BE49-F238E27FC236}">
              <a16:creationId xmlns:a16="http://schemas.microsoft.com/office/drawing/2014/main" id="{00000000-0008-0000-0300-00000C000000}"/>
            </a:ext>
          </a:extLst>
        </xdr:cNvPr>
        <xdr:cNvSpPr/>
      </xdr:nvSpPr>
      <xdr:spPr>
        <a:xfrm rot="5400000">
          <a:off x="7056120" y="4312920"/>
          <a:ext cx="928370" cy="452755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10160</xdr:colOff>
      <xdr:row>10</xdr:row>
      <xdr:rowOff>10160</xdr:rowOff>
    </xdr:from>
    <xdr:to>
      <xdr:col>6</xdr:col>
      <xdr:colOff>802640</xdr:colOff>
      <xdr:row>15</xdr:row>
      <xdr:rowOff>0</xdr:rowOff>
    </xdr:to>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4348480" y="1940560"/>
          <a:ext cx="2438400" cy="9550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3) Enter the domestic travel inputs here - pay attention ot the # of days</a:t>
          </a:r>
        </a:p>
      </xdr:txBody>
    </xdr:sp>
    <xdr:clientData/>
  </xdr:twoCellAnchor>
  <xdr:twoCellAnchor>
    <xdr:from>
      <xdr:col>2</xdr:col>
      <xdr:colOff>579120</xdr:colOff>
      <xdr:row>11</xdr:row>
      <xdr:rowOff>121920</xdr:rowOff>
    </xdr:from>
    <xdr:to>
      <xdr:col>3</xdr:col>
      <xdr:colOff>596900</xdr:colOff>
      <xdr:row>13</xdr:row>
      <xdr:rowOff>40640</xdr:rowOff>
    </xdr:to>
    <xdr:sp macro="" textlink="">
      <xdr:nvSpPr>
        <xdr:cNvPr id="14" name="Striped Right Arrow 13">
          <a:extLst>
            <a:ext uri="{FF2B5EF4-FFF2-40B4-BE49-F238E27FC236}">
              <a16:creationId xmlns:a16="http://schemas.microsoft.com/office/drawing/2014/main" id="{00000000-0008-0000-0300-00000E000000}"/>
            </a:ext>
          </a:extLst>
        </xdr:cNvPr>
        <xdr:cNvSpPr/>
      </xdr:nvSpPr>
      <xdr:spPr>
        <a:xfrm>
          <a:off x="3271520" y="2245360"/>
          <a:ext cx="840740" cy="304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10160</xdr:colOff>
      <xdr:row>18</xdr:row>
      <xdr:rowOff>0</xdr:rowOff>
    </xdr:from>
    <xdr:to>
      <xdr:col>7</xdr:col>
      <xdr:colOff>30480</xdr:colOff>
      <xdr:row>23</xdr:row>
      <xdr:rowOff>10160</xdr:rowOff>
    </xdr:to>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4348480" y="3474720"/>
          <a:ext cx="2489200" cy="9753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4) Enter the international travel inputs here - pay attention ot the # of days</a:t>
          </a:r>
        </a:p>
      </xdr:txBody>
    </xdr:sp>
    <xdr:clientData/>
  </xdr:twoCellAnchor>
  <xdr:twoCellAnchor>
    <xdr:from>
      <xdr:col>2</xdr:col>
      <xdr:colOff>538480</xdr:colOff>
      <xdr:row>19</xdr:row>
      <xdr:rowOff>132080</xdr:rowOff>
    </xdr:from>
    <xdr:to>
      <xdr:col>3</xdr:col>
      <xdr:colOff>627380</xdr:colOff>
      <xdr:row>21</xdr:row>
      <xdr:rowOff>50800</xdr:rowOff>
    </xdr:to>
    <xdr:sp macro="" textlink="">
      <xdr:nvSpPr>
        <xdr:cNvPr id="16" name="Striped Right Arrow 15">
          <a:extLst>
            <a:ext uri="{FF2B5EF4-FFF2-40B4-BE49-F238E27FC236}">
              <a16:creationId xmlns:a16="http://schemas.microsoft.com/office/drawing/2014/main" id="{00000000-0008-0000-0300-000010000000}"/>
            </a:ext>
          </a:extLst>
        </xdr:cNvPr>
        <xdr:cNvSpPr/>
      </xdr:nvSpPr>
      <xdr:spPr>
        <a:xfrm>
          <a:off x="3230880" y="3799840"/>
          <a:ext cx="911860" cy="304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528320</xdr:colOff>
      <xdr:row>4</xdr:row>
      <xdr:rowOff>172720</xdr:rowOff>
    </xdr:from>
    <xdr:to>
      <xdr:col>1</xdr:col>
      <xdr:colOff>721360</xdr:colOff>
      <xdr:row>7</xdr:row>
      <xdr:rowOff>30480</xdr:rowOff>
    </xdr:to>
    <xdr:sp macro="" textlink="">
      <xdr:nvSpPr>
        <xdr:cNvPr id="17" name="Striped Right Arrow 16">
          <a:extLst>
            <a:ext uri="{FF2B5EF4-FFF2-40B4-BE49-F238E27FC236}">
              <a16:creationId xmlns:a16="http://schemas.microsoft.com/office/drawing/2014/main" id="{00000000-0008-0000-0300-000011000000}"/>
            </a:ext>
          </a:extLst>
        </xdr:cNvPr>
        <xdr:cNvSpPr/>
      </xdr:nvSpPr>
      <xdr:spPr>
        <a:xfrm>
          <a:off x="2397760" y="944880"/>
          <a:ext cx="193040" cy="43688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497840</xdr:colOff>
      <xdr:row>2</xdr:row>
      <xdr:rowOff>20320</xdr:rowOff>
    </xdr:from>
    <xdr:to>
      <xdr:col>1</xdr:col>
      <xdr:colOff>721360</xdr:colOff>
      <xdr:row>3</xdr:row>
      <xdr:rowOff>0</xdr:rowOff>
    </xdr:to>
    <xdr:sp macro="" textlink="">
      <xdr:nvSpPr>
        <xdr:cNvPr id="18" name="Striped Right Arrow 17">
          <a:extLst>
            <a:ext uri="{FF2B5EF4-FFF2-40B4-BE49-F238E27FC236}">
              <a16:creationId xmlns:a16="http://schemas.microsoft.com/office/drawing/2014/main" id="{00000000-0008-0000-0300-000012000000}"/>
            </a:ext>
          </a:extLst>
        </xdr:cNvPr>
        <xdr:cNvSpPr/>
      </xdr:nvSpPr>
      <xdr:spPr>
        <a:xfrm>
          <a:off x="2367280" y="406400"/>
          <a:ext cx="223520" cy="17272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965200</xdr:colOff>
      <xdr:row>35</xdr:row>
      <xdr:rowOff>182880</xdr:rowOff>
    </xdr:from>
    <xdr:to>
      <xdr:col>1</xdr:col>
      <xdr:colOff>1178560</xdr:colOff>
      <xdr:row>40</xdr:row>
      <xdr:rowOff>172720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65200" y="5588000"/>
          <a:ext cx="1188720" cy="955040"/>
        </a:xfrm>
        <a:prstGeom prst="rect">
          <a:avLst/>
        </a:prstGeom>
        <a:solidFill>
          <a:srgbClr val="FBFDA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1) Enter name of each person on payroll</a:t>
          </a:r>
        </a:p>
      </xdr:txBody>
    </xdr:sp>
    <xdr:clientData/>
  </xdr:twoCellAnchor>
  <xdr:twoCellAnchor>
    <xdr:from>
      <xdr:col>1</xdr:col>
      <xdr:colOff>389890</xdr:colOff>
      <xdr:row>32</xdr:row>
      <xdr:rowOff>6350</xdr:rowOff>
    </xdr:from>
    <xdr:to>
      <xdr:col>1</xdr:col>
      <xdr:colOff>694690</xdr:colOff>
      <xdr:row>35</xdr:row>
      <xdr:rowOff>24130</xdr:rowOff>
    </xdr:to>
    <xdr:sp macro="" textlink="">
      <xdr:nvSpPr>
        <xdr:cNvPr id="3" name="Striped Right Arrow 2">
          <a:extLst>
            <a:ext uri="{FF2B5EF4-FFF2-40B4-BE49-F238E27FC236}">
              <a16:creationId xmlns:a16="http://schemas.microsoft.com/office/drawing/2014/main" id="{00000000-0008-0000-0400-000003000000}"/>
            </a:ext>
          </a:extLst>
        </xdr:cNvPr>
        <xdr:cNvSpPr/>
      </xdr:nvSpPr>
      <xdr:spPr>
        <a:xfrm rot="5400000">
          <a:off x="1219200" y="4978400"/>
          <a:ext cx="596900" cy="304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30480</xdr:colOff>
      <xdr:row>36</xdr:row>
      <xdr:rowOff>13970</xdr:rowOff>
    </xdr:from>
    <xdr:to>
      <xdr:col>2</xdr:col>
      <xdr:colOff>1493520</xdr:colOff>
      <xdr:row>41</xdr:row>
      <xdr:rowOff>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2204720" y="5612130"/>
          <a:ext cx="1463040" cy="951230"/>
        </a:xfrm>
        <a:prstGeom prst="rect">
          <a:avLst/>
        </a:prstGeom>
        <a:solidFill>
          <a:srgbClr val="FBFDA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2) Enter their position</a:t>
          </a:r>
        </a:p>
      </xdr:txBody>
    </xdr:sp>
    <xdr:clientData/>
  </xdr:twoCellAnchor>
  <xdr:twoCellAnchor>
    <xdr:from>
      <xdr:col>2</xdr:col>
      <xdr:colOff>501650</xdr:colOff>
      <xdr:row>32</xdr:row>
      <xdr:rowOff>10160</xdr:rowOff>
    </xdr:from>
    <xdr:to>
      <xdr:col>2</xdr:col>
      <xdr:colOff>806450</xdr:colOff>
      <xdr:row>35</xdr:row>
      <xdr:rowOff>27940</xdr:rowOff>
    </xdr:to>
    <xdr:sp macro="" textlink="">
      <xdr:nvSpPr>
        <xdr:cNvPr id="5" name="Striped Right Arrow 4">
          <a:extLst>
            <a:ext uri="{FF2B5EF4-FFF2-40B4-BE49-F238E27FC236}">
              <a16:creationId xmlns:a16="http://schemas.microsoft.com/office/drawing/2014/main" id="{00000000-0008-0000-0400-000005000000}"/>
            </a:ext>
          </a:extLst>
        </xdr:cNvPr>
        <xdr:cNvSpPr/>
      </xdr:nvSpPr>
      <xdr:spPr>
        <a:xfrm rot="5400000">
          <a:off x="2529840" y="4982210"/>
          <a:ext cx="596900" cy="30480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20320</xdr:colOff>
      <xdr:row>35</xdr:row>
      <xdr:rowOff>186690</xdr:rowOff>
    </xdr:from>
    <xdr:to>
      <xdr:col>4</xdr:col>
      <xdr:colOff>802640</xdr:colOff>
      <xdr:row>41</xdr:row>
      <xdr:rowOff>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3708400" y="5591810"/>
          <a:ext cx="1341120" cy="971550"/>
        </a:xfrm>
        <a:prstGeom prst="rect">
          <a:avLst/>
        </a:prstGeom>
        <a:solidFill>
          <a:srgbClr val="FBFDA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3) Enter their annual salary</a:t>
          </a:r>
        </a:p>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4) Enter their start date</a:t>
          </a:r>
        </a:p>
      </xdr:txBody>
    </xdr:sp>
    <xdr:clientData/>
  </xdr:twoCellAnchor>
  <xdr:twoCellAnchor>
    <xdr:from>
      <xdr:col>3</xdr:col>
      <xdr:colOff>450849</xdr:colOff>
      <xdr:row>31</xdr:row>
      <xdr:rowOff>193039</xdr:rowOff>
    </xdr:from>
    <xdr:to>
      <xdr:col>4</xdr:col>
      <xdr:colOff>326158</xdr:colOff>
      <xdr:row>35</xdr:row>
      <xdr:rowOff>22274</xdr:rowOff>
    </xdr:to>
    <xdr:sp macro="" textlink="">
      <xdr:nvSpPr>
        <xdr:cNvPr id="7" name="Striped Right Arrow 6">
          <a:extLst>
            <a:ext uri="{FF2B5EF4-FFF2-40B4-BE49-F238E27FC236}">
              <a16:creationId xmlns:a16="http://schemas.microsoft.com/office/drawing/2014/main" id="{00000000-0008-0000-0400-000007000000}"/>
            </a:ext>
          </a:extLst>
        </xdr:cNvPr>
        <xdr:cNvSpPr/>
      </xdr:nvSpPr>
      <xdr:spPr>
        <a:xfrm rot="5400000">
          <a:off x="4055286" y="4909642"/>
          <a:ext cx="601395" cy="434109"/>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40640</xdr:colOff>
      <xdr:row>29</xdr:row>
      <xdr:rowOff>50800</xdr:rowOff>
    </xdr:from>
    <xdr:to>
      <xdr:col>16</xdr:col>
      <xdr:colOff>182880</xdr:colOff>
      <xdr:row>32</xdr:row>
      <xdr:rowOff>101600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303760" y="4297680"/>
          <a:ext cx="2611120" cy="629920"/>
        </a:xfrm>
        <a:prstGeom prst="rect">
          <a:avLst/>
        </a:prstGeom>
        <a:solidFill>
          <a:srgbClr val="FBFDA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5) The result is a total payroll by month - make sure the pieces link properly to the cash flow</a:t>
          </a:r>
        </a:p>
      </xdr:txBody>
    </xdr:sp>
    <xdr:clientData/>
  </xdr:twoCellAnchor>
  <xdr:twoCellAnchor>
    <xdr:from>
      <xdr:col>12</xdr:col>
      <xdr:colOff>91440</xdr:colOff>
      <xdr:row>29</xdr:row>
      <xdr:rowOff>172720</xdr:rowOff>
    </xdr:from>
    <xdr:to>
      <xdr:col>12</xdr:col>
      <xdr:colOff>673961</xdr:colOff>
      <xdr:row>31</xdr:row>
      <xdr:rowOff>30072</xdr:rowOff>
    </xdr:to>
    <xdr:sp macro="" textlink="">
      <xdr:nvSpPr>
        <xdr:cNvPr id="9" name="Striped Right Arrow 8">
          <a:extLst>
            <a:ext uri="{FF2B5EF4-FFF2-40B4-BE49-F238E27FC236}">
              <a16:creationId xmlns:a16="http://schemas.microsoft.com/office/drawing/2014/main" id="{00000000-0008-0000-0400-000009000000}"/>
            </a:ext>
          </a:extLst>
        </xdr:cNvPr>
        <xdr:cNvSpPr/>
      </xdr:nvSpPr>
      <xdr:spPr>
        <a:xfrm>
          <a:off x="11531600" y="4419600"/>
          <a:ext cx="582521" cy="243432"/>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14</xdr:row>
      <xdr:rowOff>30480</xdr:rowOff>
    </xdr:from>
    <xdr:to>
      <xdr:col>1</xdr:col>
      <xdr:colOff>10160</xdr:colOff>
      <xdr:row>23</xdr:row>
      <xdr:rowOff>182880</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0" y="2733040"/>
          <a:ext cx="985520" cy="1889760"/>
        </a:xfrm>
        <a:prstGeom prst="rect">
          <a:avLst/>
        </a:prstGeom>
        <a:solidFill>
          <a:srgbClr val="FBFDA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You can input rows here, adding in new employees</a:t>
          </a:r>
        </a:p>
      </xdr:txBody>
    </xdr:sp>
    <xdr:clientData/>
  </xdr:twoCellAnchor>
  <xdr:twoCellAnchor>
    <xdr:from>
      <xdr:col>5</xdr:col>
      <xdr:colOff>487680</xdr:colOff>
      <xdr:row>32</xdr:row>
      <xdr:rowOff>81280</xdr:rowOff>
    </xdr:from>
    <xdr:to>
      <xdr:col>11</xdr:col>
      <xdr:colOff>812800</xdr:colOff>
      <xdr:row>37</xdr:row>
      <xdr:rowOff>121920</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5557520" y="3169920"/>
          <a:ext cx="5872480" cy="1005840"/>
        </a:xfrm>
        <a:prstGeom prst="rect">
          <a:avLst/>
        </a:prstGeom>
        <a:solidFill>
          <a:srgbClr val="FBFDA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a) Make sure your 'Gross Payroll' calculation includes all employees - if you add some rows at the absolute top, or bottom you will need to ensure you update the formula</a:t>
          </a:r>
        </a:p>
        <a:p>
          <a:pPr marL="0" marR="0" indent="0" algn="l" defTabSz="914400" rtl="0" eaLnBrk="1" fontAlgn="auto" latinLnBrk="0" hangingPunct="1">
            <a:lnSpc>
              <a:spcPct val="100000"/>
            </a:lnSpc>
            <a:spcBef>
              <a:spcPts val="0"/>
            </a:spcBef>
            <a:spcAft>
              <a:spcPts val="0"/>
            </a:spcAft>
            <a:buClrTx/>
            <a:buSzTx/>
            <a:buFontTx/>
            <a:buNone/>
            <a:tabLst/>
            <a:defRPr/>
          </a:pPr>
          <a:endParaRPr lang="en-US" sz="1200" b="1" i="0" u="none" strike="noStrike" baseline="0">
            <a:solidFill>
              <a:schemeClr val="tx1"/>
            </a:solidFill>
            <a:latin typeface="+mn-lt"/>
            <a:ea typeface="Calibri"/>
            <a:cs typeface="Calibri"/>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sz="1200" b="1" i="0" u="none" strike="noStrike" baseline="0">
              <a:solidFill>
                <a:schemeClr val="tx1"/>
              </a:solidFill>
              <a:latin typeface="+mn-lt"/>
              <a:ea typeface="Calibri"/>
              <a:cs typeface="Calibri"/>
            </a:rPr>
            <a:t>b) Make sure you 'Headcount' calculation includes all rows - same situation as the 'Gross Payroll' calculation</a:t>
          </a:r>
        </a:p>
      </xdr:txBody>
    </xdr:sp>
    <xdr:clientData/>
  </xdr:twoCellAnchor>
  <xdr:twoCellAnchor>
    <xdr:from>
      <xdr:col>0</xdr:col>
      <xdr:colOff>85090</xdr:colOff>
      <xdr:row>24</xdr:row>
      <xdr:rowOff>121920</xdr:rowOff>
    </xdr:from>
    <xdr:to>
      <xdr:col>0</xdr:col>
      <xdr:colOff>812800</xdr:colOff>
      <xdr:row>29</xdr:row>
      <xdr:rowOff>172720</xdr:rowOff>
    </xdr:to>
    <xdr:sp macro="" textlink="">
      <xdr:nvSpPr>
        <xdr:cNvPr id="12" name="Striped Right Arrow 11">
          <a:extLst>
            <a:ext uri="{FF2B5EF4-FFF2-40B4-BE49-F238E27FC236}">
              <a16:creationId xmlns:a16="http://schemas.microsoft.com/office/drawing/2014/main" id="{00000000-0008-0000-0400-00000C000000}"/>
            </a:ext>
          </a:extLst>
        </xdr:cNvPr>
        <xdr:cNvSpPr/>
      </xdr:nvSpPr>
      <xdr:spPr>
        <a:xfrm rot="5400000">
          <a:off x="-59055" y="4899025"/>
          <a:ext cx="1016000" cy="727710"/>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1028700</xdr:colOff>
      <xdr:row>1</xdr:row>
      <xdr:rowOff>0</xdr:rowOff>
    </xdr:to>
    <xdr:pic>
      <xdr:nvPicPr>
        <xdr:cNvPr id="2" name="FILTER" hidden="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700" cy="215900"/>
        </a:xfrm>
        <a:prstGeom prst="rect">
          <a:avLst/>
        </a:prstGeom>
        <a:solidFill>
          <a:srgbClr val="FFFFFF"/>
        </a:solidFill>
        <a:ln>
          <a:noFill/>
        </a:ln>
        <a:extLs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1028700</xdr:colOff>
      <xdr:row>1</xdr:row>
      <xdr:rowOff>0</xdr:rowOff>
    </xdr:to>
    <xdr:pic>
      <xdr:nvPicPr>
        <xdr:cNvPr id="3" name="HEADER" hidden="1">
          <a:extLst>
            <a:ext uri="{FF2B5EF4-FFF2-40B4-BE49-F238E27FC236}">
              <a16:creationId xmlns:a16="http://schemas.microsoft.com/office/drawing/2014/main" id="{00000000-0008-0000-05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028700" cy="215900"/>
        </a:xfrm>
        <a:prstGeom prst="rect">
          <a:avLst/>
        </a:prstGeom>
        <a:solidFill>
          <a:srgbClr val="FFFFFF"/>
        </a:solidFill>
        <a:ln>
          <a:noFill/>
        </a:ln>
        <a:extLs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A130"/>
  <sheetViews>
    <sheetView tabSelected="1" zoomScale="150" zoomScaleNormal="150" zoomScalePageLayoutView="150" workbookViewId="0">
      <pane xSplit="2" ySplit="8" topLeftCell="C9" activePane="bottomRight" state="frozen"/>
      <selection activeCell="I22" sqref="I22"/>
      <selection pane="topRight" activeCell="I22" sqref="I22"/>
      <selection pane="bottomLeft" activeCell="I22" sqref="I22"/>
      <selection pane="bottomRight" activeCell="C66" sqref="C66"/>
    </sheetView>
  </sheetViews>
  <sheetFormatPr baseColWidth="10" defaultColWidth="8.83203125" defaultRowHeight="15"/>
  <cols>
    <col min="1" max="1" width="18.5" style="89" customWidth="1"/>
    <col min="2" max="2" width="26.83203125" style="13" bestFit="1" customWidth="1"/>
    <col min="3" max="3" width="34" style="13" customWidth="1"/>
    <col min="4" max="4" width="12.6640625" bestFit="1" customWidth="1"/>
    <col min="5" max="5" width="20" style="13" customWidth="1"/>
    <col min="6" max="26" width="10.1640625" style="13" bestFit="1" customWidth="1"/>
  </cols>
  <sheetData>
    <row r="1" spans="1:27" s="89" customFormat="1">
      <c r="A1" s="167" t="s">
        <v>253</v>
      </c>
      <c r="B1" s="13"/>
      <c r="C1" s="13"/>
      <c r="E1" s="13"/>
      <c r="F1" s="13"/>
      <c r="G1" s="13"/>
      <c r="H1" s="13"/>
      <c r="I1" s="13"/>
      <c r="J1" s="13"/>
      <c r="K1" s="13"/>
      <c r="L1" s="13"/>
      <c r="M1" s="13"/>
      <c r="N1" s="13"/>
      <c r="O1" s="13"/>
      <c r="P1" s="13"/>
      <c r="Q1" s="13"/>
      <c r="R1" s="13"/>
      <c r="S1" s="13"/>
      <c r="T1" s="13"/>
      <c r="U1" s="13"/>
      <c r="V1" s="13"/>
      <c r="W1" s="13"/>
      <c r="X1" s="13"/>
      <c r="Y1" s="13"/>
      <c r="Z1" s="13"/>
    </row>
    <row r="2" spans="1:27" s="89" customFormat="1">
      <c r="A2" s="167"/>
      <c r="B2" s="13"/>
      <c r="C2" s="13"/>
      <c r="E2" s="13"/>
      <c r="F2" s="13"/>
      <c r="G2" s="13"/>
      <c r="H2" s="13"/>
      <c r="I2" s="13"/>
      <c r="J2" s="13"/>
      <c r="K2" s="13"/>
      <c r="L2" s="13"/>
      <c r="M2" s="13"/>
      <c r="N2" s="13"/>
      <c r="O2" s="13"/>
      <c r="P2" s="13"/>
      <c r="Q2" s="13"/>
      <c r="R2" s="13"/>
      <c r="S2" s="13"/>
      <c r="T2" s="13"/>
      <c r="U2" s="13"/>
      <c r="V2" s="13"/>
      <c r="W2" s="13"/>
      <c r="X2" s="13"/>
      <c r="Y2" s="13"/>
      <c r="Z2" s="13"/>
    </row>
    <row r="3" spans="1:27">
      <c r="A3" s="167"/>
      <c r="B3" s="13" t="s">
        <v>34</v>
      </c>
      <c r="C3" s="148">
        <v>175831.22</v>
      </c>
      <c r="D3" s="172" t="s">
        <v>247</v>
      </c>
      <c r="E3" s="172"/>
      <c r="F3" s="172"/>
      <c r="G3" s="172"/>
      <c r="H3" s="172"/>
      <c r="I3"/>
      <c r="J3"/>
      <c r="K3"/>
    </row>
    <row r="4" spans="1:27" ht="28" customHeight="1">
      <c r="A4" s="167"/>
      <c r="B4" s="13" t="s">
        <v>35</v>
      </c>
      <c r="C4" s="148">
        <v>14468.76</v>
      </c>
      <c r="D4" s="172" t="s">
        <v>248</v>
      </c>
      <c r="E4" s="172"/>
      <c r="F4" s="172"/>
      <c r="G4" s="172"/>
      <c r="H4" s="172"/>
      <c r="I4"/>
      <c r="J4"/>
      <c r="K4"/>
      <c r="L4"/>
    </row>
    <row r="5" spans="1:27" ht="45">
      <c r="A5" s="1" t="s">
        <v>250</v>
      </c>
      <c r="B5" s="13" t="s">
        <v>36</v>
      </c>
      <c r="C5" s="149">
        <f>20000-C4</f>
        <v>5531.24</v>
      </c>
      <c r="D5" s="13"/>
      <c r="E5" s="145" t="s">
        <v>249</v>
      </c>
    </row>
    <row r="6" spans="1:27" ht="16" thickBot="1">
      <c r="A6" s="146" t="s">
        <v>251</v>
      </c>
      <c r="B6" s="15" t="s">
        <v>37</v>
      </c>
      <c r="C6" s="16">
        <f>C5+C3</f>
        <v>181362.46</v>
      </c>
      <c r="E6" s="17">
        <f>C6</f>
        <v>181362.46</v>
      </c>
      <c r="F6" s="17">
        <f t="shared" ref="F6:Z6" ca="1" si="0">E71</f>
        <v>119213.43999999999</v>
      </c>
      <c r="G6" s="17">
        <f t="shared" ca="1" si="0"/>
        <v>121007.68999999999</v>
      </c>
      <c r="H6" s="17">
        <f t="shared" ca="1" si="0"/>
        <v>109699.01999999999</v>
      </c>
      <c r="I6" s="17">
        <f t="shared" ca="1" si="0"/>
        <v>122605.76999999999</v>
      </c>
      <c r="J6" s="17">
        <f t="shared" ca="1" si="0"/>
        <v>76832.299999999988</v>
      </c>
      <c r="K6" s="17">
        <f t="shared" ca="1" si="0"/>
        <v>78774.799999999988</v>
      </c>
      <c r="L6" s="17">
        <f t="shared" ca="1" si="0"/>
        <v>23740.619999999984</v>
      </c>
      <c r="M6" s="17">
        <f t="shared" ca="1" si="0"/>
        <v>22033.119999999984</v>
      </c>
      <c r="N6" s="17">
        <f t="shared" ca="1" si="0"/>
        <v>59498.679999999978</v>
      </c>
      <c r="O6" s="17">
        <f t="shared" ca="1" si="0"/>
        <v>16551.59666666665</v>
      </c>
      <c r="P6" s="17">
        <f t="shared" ca="1" si="0"/>
        <v>30142.34666666665</v>
      </c>
      <c r="Q6" s="17">
        <f t="shared" ca="1" si="0"/>
        <v>-12627.786666666678</v>
      </c>
      <c r="R6" s="17">
        <f t="shared" ca="1" si="0"/>
        <v>-25143.536666666678</v>
      </c>
      <c r="S6" s="17">
        <f t="shared" ca="1" si="0"/>
        <v>-17576.036666666678</v>
      </c>
      <c r="T6" s="17">
        <f t="shared" ca="1" si="0"/>
        <v>-36585.45666666668</v>
      </c>
      <c r="U6" s="17">
        <f t="shared" ca="1" si="0"/>
        <v>-83202.95666666668</v>
      </c>
      <c r="V6" s="17">
        <f t="shared" ca="1" si="0"/>
        <v>-86546.20666666668</v>
      </c>
      <c r="W6" s="17">
        <f t="shared" ca="1" si="0"/>
        <v>114298.79333333333</v>
      </c>
      <c r="X6" s="17">
        <f t="shared" ca="1" si="0"/>
        <v>161930.54333333333</v>
      </c>
      <c r="Y6" s="17">
        <f t="shared" ca="1" si="0"/>
        <v>145399.49333333332</v>
      </c>
      <c r="Z6" s="17">
        <f t="shared" ca="1" si="0"/>
        <v>100768.74333333332</v>
      </c>
    </row>
    <row r="7" spans="1:27" ht="17" thickTop="1" thickBot="1">
      <c r="C7" s="14"/>
      <c r="E7" s="74" t="str">
        <f t="shared" ref="E7:Z7" si="1">IF(MONTH(E8)=1, "January",IF(MONTH(E8)=2, "February", IF(MONTH(E8)=3,"March",IF(MONTH(E8)=4,"April", IF(MONTH(E8)=5, "May",IF(MONTH(E8)=6, "June",IF(MONTH(E8)=7, "July",IF(MONTH(E8)=8, "August",IF(MONTH(E8)=9, "September",IF(MONTH(E8)=10, "October",IF(MONTH(E8)=11, "November",IF(MONTH(E8)=12, "December","Try Again"))))))))))))</f>
        <v>September</v>
      </c>
      <c r="F7" s="74" t="str">
        <f t="shared" si="1"/>
        <v>September</v>
      </c>
      <c r="G7" s="74" t="str">
        <f t="shared" si="1"/>
        <v>September</v>
      </c>
      <c r="H7" s="74" t="str">
        <f t="shared" si="1"/>
        <v>October</v>
      </c>
      <c r="I7" s="74" t="str">
        <f t="shared" si="1"/>
        <v>October</v>
      </c>
      <c r="J7" s="74" t="str">
        <f t="shared" si="1"/>
        <v>October</v>
      </c>
      <c r="K7" s="74" t="str">
        <f t="shared" si="1"/>
        <v>October</v>
      </c>
      <c r="L7" s="74" t="str">
        <f t="shared" si="1"/>
        <v>November</v>
      </c>
      <c r="M7" s="74" t="str">
        <f t="shared" si="1"/>
        <v>November</v>
      </c>
      <c r="N7" s="74" t="str">
        <f t="shared" si="1"/>
        <v>November</v>
      </c>
      <c r="O7" s="74" t="str">
        <f t="shared" si="1"/>
        <v>November</v>
      </c>
      <c r="P7" s="74" t="str">
        <f t="shared" si="1"/>
        <v>December</v>
      </c>
      <c r="Q7" s="74" t="str">
        <f t="shared" si="1"/>
        <v>December</v>
      </c>
      <c r="R7" s="74" t="str">
        <f t="shared" si="1"/>
        <v>December</v>
      </c>
      <c r="S7" s="74" t="str">
        <f t="shared" si="1"/>
        <v>December</v>
      </c>
      <c r="T7" s="74" t="str">
        <f t="shared" si="1"/>
        <v>December</v>
      </c>
      <c r="U7" s="74" t="str">
        <f t="shared" si="1"/>
        <v>January</v>
      </c>
      <c r="V7" s="74" t="str">
        <f t="shared" si="1"/>
        <v>January</v>
      </c>
      <c r="W7" s="74" t="str">
        <f t="shared" si="1"/>
        <v>January</v>
      </c>
      <c r="X7" s="74" t="str">
        <f t="shared" si="1"/>
        <v>January</v>
      </c>
      <c r="Y7" s="74" t="str">
        <f t="shared" si="1"/>
        <v>February</v>
      </c>
      <c r="Z7" s="74" t="str">
        <f t="shared" si="1"/>
        <v>February</v>
      </c>
    </row>
    <row r="8" spans="1:27" ht="16" thickBot="1">
      <c r="B8" s="18" t="s">
        <v>38</v>
      </c>
      <c r="C8" s="95" t="s">
        <v>62</v>
      </c>
      <c r="D8" t="s">
        <v>63</v>
      </c>
      <c r="E8" s="19">
        <v>42629</v>
      </c>
      <c r="F8" s="19">
        <f t="shared" ref="F8" si="2">E8+7</f>
        <v>42636</v>
      </c>
      <c r="G8" s="19">
        <f t="shared" ref="G8:Z8" si="3">F8+7</f>
        <v>42643</v>
      </c>
      <c r="H8" s="19">
        <f t="shared" si="3"/>
        <v>42650</v>
      </c>
      <c r="I8" s="19">
        <f t="shared" si="3"/>
        <v>42657</v>
      </c>
      <c r="J8" s="19">
        <f t="shared" si="3"/>
        <v>42664</v>
      </c>
      <c r="K8" s="19">
        <f t="shared" si="3"/>
        <v>42671</v>
      </c>
      <c r="L8" s="19">
        <f t="shared" si="3"/>
        <v>42678</v>
      </c>
      <c r="M8" s="19">
        <f t="shared" si="3"/>
        <v>42685</v>
      </c>
      <c r="N8" s="19">
        <f t="shared" si="3"/>
        <v>42692</v>
      </c>
      <c r="O8" s="19">
        <f t="shared" si="3"/>
        <v>42699</v>
      </c>
      <c r="P8" s="19">
        <f t="shared" si="3"/>
        <v>42706</v>
      </c>
      <c r="Q8" s="19">
        <f t="shared" si="3"/>
        <v>42713</v>
      </c>
      <c r="R8" s="19">
        <f t="shared" si="3"/>
        <v>42720</v>
      </c>
      <c r="S8" s="19">
        <f t="shared" si="3"/>
        <v>42727</v>
      </c>
      <c r="T8" s="19">
        <f t="shared" si="3"/>
        <v>42734</v>
      </c>
      <c r="U8" s="19">
        <f t="shared" si="3"/>
        <v>42741</v>
      </c>
      <c r="V8" s="19">
        <f t="shared" si="3"/>
        <v>42748</v>
      </c>
      <c r="W8" s="19">
        <f t="shared" si="3"/>
        <v>42755</v>
      </c>
      <c r="X8" s="19">
        <f t="shared" si="3"/>
        <v>42762</v>
      </c>
      <c r="Y8" s="19">
        <f t="shared" si="3"/>
        <v>42769</v>
      </c>
      <c r="Z8" s="19">
        <f t="shared" si="3"/>
        <v>42776</v>
      </c>
    </row>
    <row r="9" spans="1:27">
      <c r="B9" s="21" t="s">
        <v>39</v>
      </c>
      <c r="C9" s="22"/>
      <c r="E9" s="23"/>
      <c r="F9" s="23"/>
      <c r="G9" s="24"/>
      <c r="H9" s="24"/>
      <c r="I9" s="24"/>
      <c r="J9" s="24"/>
      <c r="K9" s="24"/>
      <c r="L9" s="24"/>
      <c r="M9" s="24"/>
      <c r="N9" s="24"/>
      <c r="O9" s="24"/>
      <c r="P9" s="24"/>
      <c r="Q9" s="24"/>
      <c r="R9" s="24"/>
      <c r="S9" s="24"/>
      <c r="T9" s="24"/>
      <c r="U9" s="24"/>
      <c r="V9" s="24"/>
      <c r="W9" s="24"/>
      <c r="X9" s="24"/>
      <c r="Y9" s="24"/>
      <c r="Z9" s="24"/>
    </row>
    <row r="10" spans="1:27">
      <c r="B10" s="72" t="s">
        <v>165</v>
      </c>
      <c r="C10" s="25"/>
      <c r="D10" s="25"/>
      <c r="E10" s="26"/>
      <c r="F10" s="26"/>
      <c r="G10" s="26"/>
      <c r="H10" s="26"/>
      <c r="I10" s="26"/>
      <c r="J10" s="26"/>
      <c r="K10" s="26"/>
      <c r="L10" s="26"/>
      <c r="M10" s="26"/>
      <c r="N10" s="26"/>
      <c r="O10" s="26"/>
      <c r="P10" s="26"/>
      <c r="Q10" s="26"/>
      <c r="R10" s="26"/>
      <c r="S10" s="26"/>
      <c r="T10" s="26"/>
      <c r="U10" s="26"/>
      <c r="V10" s="26"/>
      <c r="W10" s="26"/>
      <c r="X10" s="26"/>
      <c r="Y10" s="26"/>
      <c r="Z10" s="26"/>
    </row>
    <row r="11" spans="1:27">
      <c r="B11" s="27" t="s">
        <v>159</v>
      </c>
      <c r="C11" s="65" t="s">
        <v>245</v>
      </c>
      <c r="D11" s="142" t="s">
        <v>190</v>
      </c>
      <c r="E11" s="24"/>
      <c r="F11" s="24"/>
      <c r="G11" s="24">
        <v>1000</v>
      </c>
      <c r="H11" s="24">
        <v>12250</v>
      </c>
      <c r="I11" s="24"/>
      <c r="J11" s="24"/>
      <c r="K11" s="24"/>
      <c r="L11" s="24">
        <v>1000</v>
      </c>
      <c r="M11" s="24"/>
      <c r="N11" s="24"/>
      <c r="O11" s="24"/>
      <c r="P11" s="24">
        <v>1000</v>
      </c>
      <c r="Q11" s="24"/>
      <c r="R11" s="24"/>
      <c r="S11" s="24"/>
      <c r="T11" s="24">
        <v>1000</v>
      </c>
      <c r="U11" s="24"/>
      <c r="V11" s="24"/>
      <c r="W11" s="24"/>
      <c r="X11" s="24"/>
      <c r="Y11" s="24">
        <v>1000</v>
      </c>
      <c r="Z11" s="24"/>
      <c r="AA11" s="24"/>
    </row>
    <row r="12" spans="1:27">
      <c r="B12" s="27" t="s">
        <v>160</v>
      </c>
      <c r="C12" s="65" t="s">
        <v>245</v>
      </c>
      <c r="D12" s="142" t="s">
        <v>190</v>
      </c>
      <c r="E12" s="24"/>
      <c r="F12" s="24">
        <v>2000</v>
      </c>
      <c r="G12" s="24"/>
      <c r="H12" s="24"/>
      <c r="I12" s="24"/>
      <c r="J12" s="24">
        <v>2000</v>
      </c>
      <c r="K12" s="24"/>
      <c r="L12" s="24"/>
      <c r="M12"/>
      <c r="N12" s="24">
        <v>2000</v>
      </c>
      <c r="O12" s="24"/>
      <c r="P12" s="24"/>
      <c r="Q12" s="24"/>
      <c r="R12" s="24">
        <v>2000</v>
      </c>
      <c r="S12" s="24"/>
      <c r="T12" s="24"/>
      <c r="U12" s="24"/>
      <c r="V12" s="24">
        <v>2000</v>
      </c>
      <c r="W12" s="24"/>
      <c r="X12" s="24"/>
      <c r="Y12" s="24"/>
      <c r="Z12" s="24"/>
    </row>
    <row r="13" spans="1:27">
      <c r="B13" s="27" t="s">
        <v>161</v>
      </c>
      <c r="C13" s="65" t="s">
        <v>245</v>
      </c>
      <c r="D13" s="142" t="s">
        <v>190</v>
      </c>
      <c r="E13" s="24"/>
      <c r="F13" s="24">
        <v>2000</v>
      </c>
      <c r="G13" s="24"/>
      <c r="H13" s="24">
        <v>4000</v>
      </c>
      <c r="I13" s="24"/>
      <c r="J13" s="24">
        <v>2000</v>
      </c>
      <c r="K13" s="24"/>
      <c r="L13" s="24"/>
      <c r="M13" s="24"/>
      <c r="N13" s="24">
        <v>2000</v>
      </c>
      <c r="O13" s="24"/>
      <c r="P13" s="24"/>
      <c r="Q13" s="24"/>
      <c r="R13" s="24">
        <v>2000</v>
      </c>
      <c r="S13" s="24"/>
      <c r="T13" s="24"/>
      <c r="U13" s="24"/>
      <c r="V13" s="24">
        <v>2000</v>
      </c>
      <c r="W13" s="24"/>
      <c r="X13" s="24"/>
      <c r="Y13" s="24"/>
      <c r="Z13" s="24"/>
    </row>
    <row r="14" spans="1:27">
      <c r="B14" s="27" t="s">
        <v>162</v>
      </c>
      <c r="C14" s="65" t="s">
        <v>245</v>
      </c>
      <c r="D14" s="142" t="s">
        <v>190</v>
      </c>
      <c r="E14"/>
      <c r="F14" s="24"/>
      <c r="G14"/>
      <c r="H14" s="24"/>
      <c r="I14" s="24"/>
      <c r="J14" s="24"/>
      <c r="K14" s="24"/>
      <c r="L14" s="24"/>
      <c r="M14" s="24"/>
      <c r="N14" s="24"/>
      <c r="O14" s="24"/>
      <c r="P14" s="24"/>
      <c r="Q14" s="24"/>
      <c r="R14" s="24"/>
      <c r="S14" s="24"/>
      <c r="T14" s="24"/>
      <c r="U14" s="24"/>
      <c r="V14" s="24"/>
      <c r="W14" s="24"/>
      <c r="X14" s="24"/>
      <c r="Y14" s="24"/>
      <c r="Z14" s="24"/>
    </row>
    <row r="15" spans="1:27">
      <c r="B15" s="81" t="s">
        <v>170</v>
      </c>
      <c r="C15" s="65"/>
      <c r="D15" s="65"/>
      <c r="E15"/>
      <c r="F15"/>
      <c r="G15" s="69"/>
      <c r="H15" s="69"/>
      <c r="I15" s="69"/>
      <c r="J15" s="69"/>
      <c r="K15" s="69"/>
      <c r="L15" s="69"/>
      <c r="M15" s="69"/>
      <c r="N15" s="69"/>
      <c r="O15" s="69"/>
      <c r="P15" s="69"/>
      <c r="Q15" s="69"/>
      <c r="R15" s="26"/>
      <c r="S15" s="26"/>
      <c r="T15" s="26"/>
      <c r="U15" s="26"/>
      <c r="V15" s="26"/>
      <c r="W15" s="26"/>
      <c r="X15" s="26"/>
      <c r="Y15" s="26"/>
      <c r="Z15" s="26"/>
    </row>
    <row r="16" spans="1:27">
      <c r="A16" s="89" t="s">
        <v>254</v>
      </c>
      <c r="B16" s="70" t="s">
        <v>193</v>
      </c>
      <c r="C16" s="71" t="s">
        <v>61</v>
      </c>
      <c r="D16" s="91">
        <v>50000</v>
      </c>
      <c r="E16" s="41"/>
      <c r="F16" s="41"/>
      <c r="G16" s="41"/>
      <c r="H16" s="41"/>
      <c r="I16" s="41"/>
      <c r="J16" s="41"/>
      <c r="K16" s="41"/>
      <c r="L16" s="41"/>
      <c r="M16" s="41">
        <f t="shared" ref="M16:W16" si="4">IF($C16="N",0, $D16)</f>
        <v>50000</v>
      </c>
      <c r="N16" s="41"/>
      <c r="O16" s="41"/>
      <c r="P16" s="41"/>
      <c r="Q16" s="41"/>
      <c r="R16" s="41">
        <f t="shared" si="4"/>
        <v>50000</v>
      </c>
      <c r="S16" s="41"/>
      <c r="T16" s="41"/>
      <c r="U16" s="41"/>
      <c r="V16" s="41"/>
      <c r="W16" s="41">
        <f t="shared" si="4"/>
        <v>50000</v>
      </c>
      <c r="X16" s="41"/>
      <c r="Y16" s="41"/>
      <c r="Z16" s="41"/>
    </row>
    <row r="17" spans="1:27">
      <c r="A17" s="89" t="s">
        <v>254</v>
      </c>
      <c r="B17" s="70" t="s">
        <v>194</v>
      </c>
      <c r="C17" s="71" t="s">
        <v>64</v>
      </c>
      <c r="D17" s="92">
        <v>75000</v>
      </c>
      <c r="E17" s="41"/>
      <c r="F17" s="41"/>
      <c r="G17" s="41"/>
      <c r="H17" s="41"/>
      <c r="I17" s="41"/>
      <c r="J17" s="41"/>
      <c r="K17" s="41"/>
      <c r="L17" s="41"/>
      <c r="M17" s="41"/>
      <c r="N17" s="41">
        <f>IF($C17="N",0, $D17)</f>
        <v>0</v>
      </c>
      <c r="O17" s="41"/>
      <c r="P17" s="41"/>
      <c r="Q17" s="41"/>
      <c r="R17" s="41"/>
      <c r="S17" s="41"/>
      <c r="T17" s="41"/>
      <c r="U17" s="41"/>
      <c r="V17" s="41"/>
      <c r="W17" s="41"/>
      <c r="X17" s="41"/>
      <c r="Y17" s="41"/>
      <c r="Z17" s="41"/>
    </row>
    <row r="18" spans="1:27">
      <c r="B18"/>
      <c r="C18" s="68"/>
      <c r="E18"/>
      <c r="F18"/>
      <c r="G18"/>
      <c r="H18"/>
      <c r="I18"/>
      <c r="J18"/>
      <c r="K18"/>
      <c r="L18"/>
      <c r="M18"/>
      <c r="N18"/>
      <c r="O18"/>
      <c r="P18"/>
      <c r="Q18"/>
      <c r="R18"/>
      <c r="S18"/>
      <c r="T18"/>
      <c r="U18"/>
      <c r="V18"/>
      <c r="W18"/>
      <c r="X18"/>
      <c r="Y18"/>
      <c r="Z18"/>
    </row>
    <row r="19" spans="1:27">
      <c r="B19" s="72" t="s">
        <v>166</v>
      </c>
      <c r="R19" s="17"/>
      <c r="S19" s="17"/>
      <c r="T19" s="17"/>
      <c r="U19" s="17"/>
      <c r="V19" s="17"/>
      <c r="W19" s="26"/>
      <c r="AA19" s="67"/>
    </row>
    <row r="20" spans="1:27">
      <c r="B20" s="64" t="s">
        <v>163</v>
      </c>
      <c r="C20" s="65" t="s">
        <v>245</v>
      </c>
      <c r="D20" s="142" t="s">
        <v>190</v>
      </c>
      <c r="E20" s="26"/>
      <c r="F20" s="26"/>
      <c r="G20" s="26">
        <v>35000</v>
      </c>
      <c r="H20" s="26"/>
      <c r="I20" s="26"/>
      <c r="J20" s="26"/>
      <c r="K20" s="26"/>
      <c r="L20" s="26"/>
      <c r="M20" s="26"/>
      <c r="N20" s="26"/>
      <c r="O20" s="26">
        <v>35000</v>
      </c>
      <c r="P20" s="26"/>
      <c r="Q20" s="26"/>
      <c r="R20" s="26"/>
      <c r="S20" s="26"/>
      <c r="T20" s="26"/>
      <c r="U20" s="26"/>
      <c r="V20" s="26"/>
      <c r="W20" s="26"/>
      <c r="X20" s="26"/>
      <c r="Y20" s="26"/>
      <c r="Z20" s="26"/>
      <c r="AA20" s="66"/>
    </row>
    <row r="21" spans="1:27">
      <c r="B21" s="64" t="s">
        <v>164</v>
      </c>
      <c r="C21" s="65" t="s">
        <v>245</v>
      </c>
      <c r="D21" s="142" t="s">
        <v>190</v>
      </c>
      <c r="E21" s="26"/>
      <c r="F21" s="26"/>
      <c r="G21" s="26">
        <v>987.33</v>
      </c>
      <c r="H21" s="26"/>
      <c r="I21" s="26"/>
      <c r="J21" s="26"/>
      <c r="K21" s="26"/>
      <c r="L21" s="26"/>
      <c r="M21" s="26">
        <v>987.33</v>
      </c>
      <c r="N21" s="26"/>
      <c r="O21" s="26"/>
      <c r="P21" s="26"/>
      <c r="Q21" s="26"/>
      <c r="R21" s="26"/>
      <c r="S21" s="26">
        <v>987.33</v>
      </c>
      <c r="T21" s="26"/>
      <c r="U21" s="26"/>
      <c r="V21" s="26"/>
      <c r="W21" s="26"/>
      <c r="X21" s="26">
        <v>987.33</v>
      </c>
      <c r="Y21" s="26"/>
      <c r="Z21" s="26"/>
      <c r="AA21" s="26"/>
    </row>
    <row r="22" spans="1:27">
      <c r="B22" s="64" t="s">
        <v>171</v>
      </c>
      <c r="C22" s="65" t="s">
        <v>245</v>
      </c>
      <c r="D22" s="142" t="s">
        <v>190</v>
      </c>
      <c r="E22" s="26"/>
      <c r="F22" s="26"/>
      <c r="G22" s="26"/>
      <c r="H22" s="26"/>
      <c r="I22" s="26"/>
      <c r="J22" s="26"/>
      <c r="K22" s="26"/>
      <c r="L22" s="26"/>
      <c r="M22" s="26"/>
      <c r="N22" s="26"/>
      <c r="O22" s="26"/>
      <c r="P22" s="26"/>
      <c r="Q22" s="26"/>
      <c r="R22" s="26"/>
      <c r="S22" s="26"/>
      <c r="T22" s="26"/>
      <c r="U22" s="26"/>
      <c r="V22" s="26"/>
      <c r="W22" s="26"/>
      <c r="X22" s="26"/>
      <c r="Y22" s="26"/>
      <c r="Z22" s="26"/>
      <c r="AA22" s="26"/>
    </row>
    <row r="23" spans="1:27">
      <c r="B23" s="64" t="s">
        <v>171</v>
      </c>
      <c r="C23" s="65" t="s">
        <v>245</v>
      </c>
      <c r="D23" s="142" t="s">
        <v>190</v>
      </c>
      <c r="E23" s="26"/>
      <c r="F23" s="26"/>
      <c r="G23" s="26"/>
      <c r="H23" s="26"/>
      <c r="I23" s="26"/>
      <c r="J23" s="26"/>
      <c r="K23" s="26"/>
      <c r="L23" s="26"/>
      <c r="M23" s="26"/>
      <c r="N23" s="26"/>
      <c r="O23" s="26"/>
      <c r="P23" s="26"/>
      <c r="Q23" s="26"/>
      <c r="R23" s="26"/>
      <c r="S23" s="26"/>
      <c r="T23" s="26"/>
      <c r="U23" s="26"/>
      <c r="V23" s="26"/>
      <c r="W23" s="26"/>
      <c r="X23" s="26"/>
      <c r="Y23" s="26"/>
      <c r="Z23" s="26"/>
      <c r="AA23" s="66"/>
    </row>
    <row r="24" spans="1:27">
      <c r="B24" s="64" t="s">
        <v>171</v>
      </c>
      <c r="C24" s="65" t="s">
        <v>245</v>
      </c>
      <c r="D24" s="142" t="s">
        <v>190</v>
      </c>
      <c r="E24" s="69"/>
      <c r="F24" s="26"/>
      <c r="G24" s="26"/>
      <c r="H24" s="26"/>
      <c r="I24" s="69"/>
      <c r="J24" s="26"/>
      <c r="K24" s="26"/>
      <c r="L24" s="26"/>
      <c r="M24" s="26"/>
      <c r="N24" s="26"/>
      <c r="O24" s="26"/>
      <c r="P24" s="69"/>
      <c r="Q24" s="26"/>
      <c r="R24" s="26"/>
      <c r="S24" s="26"/>
      <c r="T24" s="26"/>
      <c r="U24" s="26"/>
      <c r="V24" s="69"/>
      <c r="W24" s="26"/>
      <c r="X24" s="26"/>
      <c r="Y24" s="26"/>
      <c r="Z24" s="26"/>
      <c r="AA24" s="26"/>
    </row>
    <row r="25" spans="1:27">
      <c r="B25" s="64" t="s">
        <v>171</v>
      </c>
      <c r="C25" s="65" t="s">
        <v>245</v>
      </c>
      <c r="D25" s="142" t="s">
        <v>190</v>
      </c>
      <c r="E25" s="69"/>
      <c r="F25" s="26"/>
      <c r="G25" s="26"/>
      <c r="H25" s="26"/>
      <c r="I25" s="69"/>
      <c r="J25" s="26"/>
      <c r="K25" s="26"/>
      <c r="L25" s="26"/>
      <c r="M25" s="26"/>
      <c r="N25" s="26"/>
      <c r="O25" s="26"/>
      <c r="P25" s="69"/>
      <c r="Q25" s="26"/>
      <c r="R25" s="26"/>
      <c r="S25" s="26"/>
      <c r="T25" s="26"/>
      <c r="U25" s="26"/>
      <c r="V25" s="69"/>
      <c r="W25" s="26"/>
      <c r="X25" s="26"/>
      <c r="Y25" s="26"/>
      <c r="Z25" s="26"/>
      <c r="AA25" s="26"/>
    </row>
    <row r="26" spans="1:27" ht="16" thickBot="1">
      <c r="B26" s="76"/>
      <c r="C26" s="77"/>
      <c r="E26" s="78"/>
      <c r="F26" s="78"/>
      <c r="G26" s="78"/>
      <c r="H26" s="78"/>
      <c r="I26" s="78"/>
      <c r="J26" s="78"/>
      <c r="K26" s="78"/>
      <c r="L26" s="78"/>
      <c r="M26" s="78"/>
      <c r="N26" s="78"/>
      <c r="O26" s="78"/>
      <c r="P26" s="78"/>
      <c r="Q26" s="78"/>
      <c r="R26" s="78"/>
      <c r="S26" s="78"/>
      <c r="T26" s="78"/>
      <c r="U26" s="78"/>
      <c r="V26" s="78"/>
      <c r="W26" s="78"/>
      <c r="X26" s="78"/>
      <c r="Y26" s="78"/>
      <c r="Z26" s="78"/>
      <c r="AA26" s="77"/>
    </row>
    <row r="27" spans="1:27" ht="34" customHeight="1" thickBot="1">
      <c r="A27" s="147" t="s">
        <v>252</v>
      </c>
      <c r="B27" s="28" t="s">
        <v>40</v>
      </c>
      <c r="C27" s="144" t="s">
        <v>246</v>
      </c>
      <c r="D27" s="143" t="s">
        <v>192</v>
      </c>
      <c r="E27" s="29">
        <f t="shared" ref="E27" si="5">SUM(E10:E25)</f>
        <v>0</v>
      </c>
      <c r="F27" s="29">
        <f>SUM(F10:F25)</f>
        <v>4000</v>
      </c>
      <c r="G27" s="29">
        <f t="shared" ref="G27:Z27" si="6">SUM(G10:G25)</f>
        <v>36987.33</v>
      </c>
      <c r="H27" s="29">
        <f t="shared" si="6"/>
        <v>16250</v>
      </c>
      <c r="I27" s="29">
        <f t="shared" si="6"/>
        <v>0</v>
      </c>
      <c r="J27" s="29">
        <f t="shared" si="6"/>
        <v>4000</v>
      </c>
      <c r="K27" s="29">
        <f t="shared" si="6"/>
        <v>0</v>
      </c>
      <c r="L27" s="29">
        <f t="shared" si="6"/>
        <v>1000</v>
      </c>
      <c r="M27" s="29">
        <f t="shared" si="6"/>
        <v>50987.33</v>
      </c>
      <c r="N27" s="29">
        <f t="shared" si="6"/>
        <v>4000</v>
      </c>
      <c r="O27" s="29">
        <f t="shared" si="6"/>
        <v>35000</v>
      </c>
      <c r="P27" s="29">
        <f t="shared" si="6"/>
        <v>1000</v>
      </c>
      <c r="Q27" s="29">
        <f t="shared" si="6"/>
        <v>0</v>
      </c>
      <c r="R27" s="29">
        <f t="shared" si="6"/>
        <v>54000</v>
      </c>
      <c r="S27" s="29">
        <f t="shared" si="6"/>
        <v>987.33</v>
      </c>
      <c r="T27" s="29">
        <f t="shared" si="6"/>
        <v>1000</v>
      </c>
      <c r="U27" s="29">
        <f t="shared" si="6"/>
        <v>0</v>
      </c>
      <c r="V27" s="29">
        <f t="shared" si="6"/>
        <v>4000</v>
      </c>
      <c r="W27" s="29">
        <f t="shared" si="6"/>
        <v>50000</v>
      </c>
      <c r="X27" s="29">
        <f t="shared" si="6"/>
        <v>987.33</v>
      </c>
      <c r="Y27" s="29">
        <f t="shared" si="6"/>
        <v>1000</v>
      </c>
      <c r="Z27" s="29">
        <f t="shared" si="6"/>
        <v>0</v>
      </c>
    </row>
    <row r="28" spans="1:27">
      <c r="B28" s="22"/>
      <c r="C28" s="22"/>
      <c r="E28" s="30"/>
      <c r="F28" s="24"/>
      <c r="G28" s="24"/>
      <c r="H28" s="24"/>
      <c r="I28" s="24"/>
      <c r="J28" s="24"/>
      <c r="K28" s="24"/>
      <c r="L28" s="24"/>
      <c r="M28" s="24"/>
      <c r="N28" s="24"/>
      <c r="O28" s="24"/>
      <c r="P28" s="24"/>
      <c r="Q28" s="24"/>
      <c r="R28" s="24"/>
      <c r="S28" s="24"/>
      <c r="T28" s="24"/>
      <c r="U28" s="24"/>
      <c r="V28" s="24"/>
      <c r="W28" s="24"/>
      <c r="X28" s="24"/>
      <c r="Y28" s="24"/>
      <c r="Z28" s="24"/>
    </row>
    <row r="29" spans="1:27">
      <c r="B29" s="31" t="s">
        <v>41</v>
      </c>
      <c r="C29" s="22"/>
      <c r="E29" s="30"/>
      <c r="F29" s="24"/>
      <c r="G29" s="24"/>
      <c r="H29" s="24"/>
      <c r="I29" s="24"/>
      <c r="J29" s="24"/>
      <c r="K29" s="24"/>
      <c r="L29" s="24"/>
      <c r="M29" s="24"/>
      <c r="N29" s="24"/>
      <c r="O29" s="24"/>
      <c r="P29" s="24"/>
      <c r="Q29" s="24"/>
      <c r="R29" s="24"/>
      <c r="S29" s="24"/>
      <c r="T29" s="24"/>
      <c r="U29" s="24"/>
      <c r="V29" s="24"/>
      <c r="W29" s="24"/>
      <c r="X29" s="24"/>
      <c r="Y29" s="24"/>
      <c r="Z29" s="24"/>
    </row>
    <row r="30" spans="1:27">
      <c r="B30" s="82" t="s">
        <v>127</v>
      </c>
      <c r="C30" s="94" t="s">
        <v>188</v>
      </c>
      <c r="D30" s="143" t="s">
        <v>192</v>
      </c>
      <c r="E30" s="164">
        <f>'Headcount Budget'!$F$31/2</f>
        <v>-27500</v>
      </c>
      <c r="F30" s="164"/>
      <c r="G30" s="164">
        <f>'Headcount Budget'!$F$31/2</f>
        <v>-27500</v>
      </c>
      <c r="H30" s="164"/>
      <c r="I30" s="164">
        <f>'Headcount Budget'!$G$31/2</f>
        <v>-30625</v>
      </c>
      <c r="J30" s="164"/>
      <c r="K30" s="164">
        <f>'Headcount Budget'!$G$31/2</f>
        <v>-30625</v>
      </c>
      <c r="L30" s="164"/>
      <c r="M30" s="164"/>
      <c r="N30" s="164">
        <f>'Headcount Budget'!$H$31/2</f>
        <v>-37291.666666666664</v>
      </c>
      <c r="O30" s="164"/>
      <c r="P30" s="164">
        <f>'Headcount Budget'!$H$31/2</f>
        <v>-37291.666666666664</v>
      </c>
      <c r="Q30" s="164"/>
      <c r="R30" s="164">
        <f>'Headcount Budget'!$I$31/2</f>
        <v>-38750</v>
      </c>
      <c r="S30" s="164"/>
      <c r="T30" s="164">
        <f>'Headcount Budget'!$I$31/2</f>
        <v>-38750</v>
      </c>
      <c r="U30" s="164"/>
      <c r="V30" s="164">
        <f>'Headcount Budget'!$J$31/2</f>
        <v>-38750</v>
      </c>
      <c r="W30" s="164"/>
      <c r="X30" s="164"/>
      <c r="Y30" s="164">
        <f>'Headcount Budget'!$J$31/2</f>
        <v>-38750</v>
      </c>
      <c r="Z30" s="164"/>
      <c r="AA30" s="83"/>
    </row>
    <row r="31" spans="1:27" ht="16" thickBot="1">
      <c r="B31" s="33" t="s">
        <v>22</v>
      </c>
      <c r="C31" s="93" t="s">
        <v>191</v>
      </c>
      <c r="E31" s="165">
        <f>E30*0.13</f>
        <v>-3575</v>
      </c>
      <c r="F31" s="166"/>
      <c r="G31" s="165">
        <f>G30*0.13</f>
        <v>-3575</v>
      </c>
      <c r="H31" s="166"/>
      <c r="I31" s="165">
        <f>I30*0.13</f>
        <v>-3981.25</v>
      </c>
      <c r="J31" s="166"/>
      <c r="K31" s="165">
        <f>K30*0.13</f>
        <v>-3981.25</v>
      </c>
      <c r="L31" s="166"/>
      <c r="M31" s="165"/>
      <c r="N31" s="165">
        <f>N30*0.13</f>
        <v>-4847.916666666667</v>
      </c>
      <c r="O31" s="166"/>
      <c r="P31" s="165">
        <f>P30*0.13</f>
        <v>-4847.916666666667</v>
      </c>
      <c r="Q31" s="166"/>
      <c r="R31" s="165">
        <f>R30*0.13</f>
        <v>-5037.5</v>
      </c>
      <c r="S31" s="166"/>
      <c r="T31" s="165">
        <f>T30*0.13</f>
        <v>-5037.5</v>
      </c>
      <c r="U31" s="166"/>
      <c r="V31" s="165">
        <f>V30*0.13</f>
        <v>-5037.5</v>
      </c>
      <c r="W31" s="166"/>
      <c r="X31" s="166"/>
      <c r="Y31" s="165">
        <f>Y30*0.13</f>
        <v>-5037.5</v>
      </c>
      <c r="Z31" s="166"/>
    </row>
    <row r="32" spans="1:27" ht="31" thickBot="1">
      <c r="A32" s="147" t="s">
        <v>252</v>
      </c>
      <c r="B32" s="34" t="s">
        <v>41</v>
      </c>
      <c r="C32" s="35"/>
      <c r="E32" s="162">
        <f>SUM(E30:E31)</f>
        <v>-31075</v>
      </c>
      <c r="F32" s="162">
        <f t="shared" ref="F32:Z32" si="7">SUM(F30:F31)</f>
        <v>0</v>
      </c>
      <c r="G32" s="162">
        <f t="shared" si="7"/>
        <v>-31075</v>
      </c>
      <c r="H32" s="162">
        <f t="shared" si="7"/>
        <v>0</v>
      </c>
      <c r="I32" s="162">
        <f t="shared" si="7"/>
        <v>-34606.25</v>
      </c>
      <c r="J32" s="162">
        <f t="shared" si="7"/>
        <v>0</v>
      </c>
      <c r="K32" s="162">
        <f t="shared" si="7"/>
        <v>-34606.25</v>
      </c>
      <c r="L32" s="162">
        <f t="shared" si="7"/>
        <v>0</v>
      </c>
      <c r="M32" s="162">
        <f t="shared" si="7"/>
        <v>0</v>
      </c>
      <c r="N32" s="162">
        <f t="shared" si="7"/>
        <v>-42139.583333333328</v>
      </c>
      <c r="O32" s="162">
        <f t="shared" si="7"/>
        <v>0</v>
      </c>
      <c r="P32" s="162">
        <f t="shared" si="7"/>
        <v>-42139.583333333328</v>
      </c>
      <c r="Q32" s="162">
        <f t="shared" si="7"/>
        <v>0</v>
      </c>
      <c r="R32" s="162">
        <f t="shared" si="7"/>
        <v>-43787.5</v>
      </c>
      <c r="S32" s="162">
        <f t="shared" si="7"/>
        <v>0</v>
      </c>
      <c r="T32" s="162">
        <f t="shared" si="7"/>
        <v>-43787.5</v>
      </c>
      <c r="U32" s="162">
        <f t="shared" si="7"/>
        <v>0</v>
      </c>
      <c r="V32" s="162">
        <f t="shared" si="7"/>
        <v>-43787.5</v>
      </c>
      <c r="W32" s="162">
        <f t="shared" si="7"/>
        <v>0</v>
      </c>
      <c r="X32" s="162">
        <f t="shared" si="7"/>
        <v>0</v>
      </c>
      <c r="Y32" s="162">
        <f t="shared" si="7"/>
        <v>-43787.5</v>
      </c>
      <c r="Z32" s="162">
        <f t="shared" si="7"/>
        <v>0</v>
      </c>
    </row>
    <row r="33" spans="1:26">
      <c r="B33" s="22"/>
      <c r="C33" s="24"/>
      <c r="E33" s="24"/>
      <c r="F33" s="24"/>
      <c r="G33" s="24"/>
      <c r="H33" s="24"/>
      <c r="I33" s="24"/>
      <c r="J33" s="24"/>
      <c r="K33" s="24"/>
      <c r="L33" s="24"/>
      <c r="M33" s="24"/>
      <c r="N33" s="24"/>
      <c r="O33" s="24"/>
      <c r="P33" s="24"/>
      <c r="Q33" s="24"/>
      <c r="R33" s="24"/>
      <c r="S33" s="24"/>
      <c r="T33" s="24"/>
      <c r="U33" s="24"/>
      <c r="V33" s="24"/>
      <c r="W33" s="24"/>
      <c r="X33" s="24"/>
      <c r="Y33" s="24"/>
      <c r="Z33" s="24"/>
    </row>
    <row r="34" spans="1:26">
      <c r="B34" s="31" t="s">
        <v>43</v>
      </c>
      <c r="C34" s="24"/>
      <c r="E34" s="24"/>
      <c r="F34" s="24"/>
      <c r="G34" s="24"/>
      <c r="H34" s="24"/>
      <c r="I34" s="24"/>
      <c r="J34" s="24"/>
      <c r="K34" s="24"/>
      <c r="L34" s="24"/>
      <c r="M34" s="24"/>
      <c r="N34" s="24"/>
      <c r="O34" s="24"/>
      <c r="P34" s="24"/>
      <c r="Q34" s="24"/>
      <c r="R34" s="24"/>
      <c r="S34" s="24"/>
      <c r="T34" s="24"/>
      <c r="U34" s="24"/>
      <c r="V34" s="24"/>
      <c r="W34" s="24"/>
      <c r="X34" s="24"/>
      <c r="Y34" s="24"/>
      <c r="Z34" s="24"/>
    </row>
    <row r="35" spans="1:26">
      <c r="B35" s="37" t="s">
        <v>44</v>
      </c>
      <c r="C35" s="94" t="s">
        <v>189</v>
      </c>
      <c r="D35" s="143" t="s">
        <v>192</v>
      </c>
      <c r="E35" s="161">
        <f ca="1">SUMIF('AP Aging Detail'!$L$5:$AW$39, 'Cash Flow by Week'!E$8, 'AP Aging Detail'!$L$6:$AW$6)</f>
        <v>-25969.02</v>
      </c>
      <c r="F35" s="161">
        <f ca="1">SUMIF('AP Aging Detail'!$L$5:$AW$39, 'Cash Flow by Week'!F$8, 'AP Aging Detail'!$L$6:$AW$6)</f>
        <v>0</v>
      </c>
      <c r="G35" s="161">
        <f ca="1">SUMIF('AP Aging Detail'!$L$5:$AW$39, 'Cash Flow by Week'!G$8, 'AP Aging Detail'!$L$6:$AW$6)</f>
        <v>0</v>
      </c>
      <c r="H35" s="161">
        <f ca="1">SUMIF('AP Aging Detail'!$L$5:$AW$39, 'Cash Flow by Week'!H$8, 'AP Aging Detail'!$L$6:$AW$6)</f>
        <v>0</v>
      </c>
      <c r="I35" s="161">
        <f ca="1">SUMIF('AP Aging Detail'!$L$5:$AW$39, 'Cash Flow by Week'!I$8, 'AP Aging Detail'!$L$6:$AW$6)</f>
        <v>0</v>
      </c>
      <c r="J35" s="161">
        <f ca="1">SUMIF('AP Aging Detail'!$L$5:$AW$39, 'Cash Flow by Week'!J$8, 'AP Aging Detail'!$L$6:$AW$6)</f>
        <v>0</v>
      </c>
      <c r="K35" s="161">
        <f ca="1">SUMIF('AP Aging Detail'!$L$5:$AW$39, 'Cash Flow by Week'!K$8, 'AP Aging Detail'!$L$6:$AW$6)</f>
        <v>-2598.8000000000002</v>
      </c>
      <c r="L35" s="161">
        <f ca="1">SUMIF('AP Aging Detail'!$L$5:$AW$39, 'Cash Flow by Week'!L$8, 'AP Aging Detail'!$L$6:$AW$6)</f>
        <v>0</v>
      </c>
      <c r="M35" s="161">
        <f ca="1">SUMIF('AP Aging Detail'!$L$5:$AW$39, 'Cash Flow by Week'!M$8, 'AP Aging Detail'!$L$6:$AW$6)</f>
        <v>0</v>
      </c>
      <c r="N35" s="161">
        <f ca="1">SUMIF('AP Aging Detail'!$L$5:$AW$39, 'Cash Flow by Week'!N$8, 'AP Aging Detail'!$L$6:$AW$6)</f>
        <v>0</v>
      </c>
      <c r="O35" s="161">
        <f ca="1">SUMIF('AP Aging Detail'!$L$5:$AW$39, 'Cash Flow by Week'!O$8, 'AP Aging Detail'!$L$6:$AW$6)</f>
        <v>0</v>
      </c>
      <c r="P35" s="161">
        <f ca="1">SUMIF('AP Aging Detail'!$L$5:$AW$39, 'Cash Flow by Week'!P$8, 'AP Aging Detail'!$L$6:$AW$6)</f>
        <v>0</v>
      </c>
      <c r="Q35" s="161">
        <f ca="1">SUMIF('AP Aging Detail'!$L$5:$AW$39, 'Cash Flow by Week'!Q$8, 'AP Aging Detail'!$L$6:$AW$6)</f>
        <v>0</v>
      </c>
      <c r="R35" s="161">
        <f ca="1">SUMIF('AP Aging Detail'!$L$5:$AW$39, 'Cash Flow by Week'!R$8, 'AP Aging Detail'!$L$6:$AW$6)</f>
        <v>0</v>
      </c>
      <c r="S35" s="161">
        <f ca="1">SUMIF('AP Aging Detail'!$L$5:$AW$39, 'Cash Flow by Week'!S$8, 'AP Aging Detail'!$L$6:$AW$6)</f>
        <v>0</v>
      </c>
      <c r="T35" s="161">
        <f ca="1">SUMIF('AP Aging Detail'!$L$5:$AW$39, 'Cash Flow by Week'!T$8, 'AP Aging Detail'!$L$6:$AW$6)</f>
        <v>0</v>
      </c>
      <c r="U35" s="161">
        <f ca="1">SUMIF('AP Aging Detail'!$L$5:$AW$39, 'Cash Flow by Week'!U$8, 'AP Aging Detail'!$L$6:$AW$6)</f>
        <v>0</v>
      </c>
      <c r="V35" s="161">
        <f ca="1">SUMIF('AP Aging Detail'!$L$5:$AW$39, 'Cash Flow by Week'!V$8, 'AP Aging Detail'!$L$6:$AW$6)</f>
        <v>0</v>
      </c>
      <c r="W35" s="161">
        <f ca="1">SUMIF('AP Aging Detail'!$L$5:$AW$39, 'Cash Flow by Week'!W$8, 'AP Aging Detail'!$L$6:$AW$6)</f>
        <v>0</v>
      </c>
      <c r="X35" s="161">
        <f ca="1">SUMIF('AP Aging Detail'!$L$5:$AW$39, 'Cash Flow by Week'!X$8, 'AP Aging Detail'!$L$6:$AW$6)</f>
        <v>0</v>
      </c>
      <c r="Y35" s="161">
        <f ca="1">SUMIF('AP Aging Detail'!$L$5:$AW$39, 'Cash Flow by Week'!Y$8, 'AP Aging Detail'!$L$6:$AW$6)</f>
        <v>0</v>
      </c>
      <c r="Z35" s="161">
        <f ca="1">SUMIF('AP Aging Detail'!$L$5:$AW$39, 'Cash Flow by Week'!Z$8, 'AP Aging Detail'!$L$6:$AW$6)</f>
        <v>0</v>
      </c>
    </row>
    <row r="36" spans="1:26" s="89" customFormat="1">
      <c r="B36" s="38" t="s">
        <v>42</v>
      </c>
      <c r="C36" s="141" t="s">
        <v>244</v>
      </c>
      <c r="D36" s="142" t="s">
        <v>190</v>
      </c>
      <c r="E36" s="163"/>
      <c r="F36" s="163"/>
      <c r="G36" s="163"/>
      <c r="H36" s="163"/>
      <c r="I36" s="163">
        <v>-4100</v>
      </c>
      <c r="J36" s="163"/>
      <c r="K36" s="163"/>
      <c r="L36" s="163"/>
      <c r="M36" s="163">
        <v>-4100</v>
      </c>
      <c r="N36" s="163"/>
      <c r="O36" s="163"/>
      <c r="P36" s="163"/>
      <c r="Q36" s="163">
        <v>-4100</v>
      </c>
      <c r="R36" s="163"/>
      <c r="S36" s="163"/>
      <c r="T36" s="163"/>
      <c r="U36" s="163"/>
      <c r="V36" s="12">
        <v>-4100</v>
      </c>
      <c r="W36" s="163"/>
      <c r="X36" s="163"/>
      <c r="Y36" s="163"/>
      <c r="Z36" s="163"/>
    </row>
    <row r="37" spans="1:26">
      <c r="B37" s="38" t="s">
        <v>157</v>
      </c>
      <c r="C37" s="141" t="s">
        <v>244</v>
      </c>
      <c r="D37" s="142" t="s">
        <v>190</v>
      </c>
      <c r="E37" s="163"/>
      <c r="F37" s="163"/>
      <c r="G37" s="163"/>
      <c r="H37" s="163"/>
      <c r="I37" s="163"/>
      <c r="J37" s="163"/>
      <c r="K37" s="163"/>
      <c r="L37" s="163"/>
      <c r="M37" s="163"/>
      <c r="N37" s="163"/>
      <c r="O37" s="163">
        <v>-2500</v>
      </c>
      <c r="P37" s="163"/>
      <c r="Q37" s="163">
        <v>-2500</v>
      </c>
      <c r="R37" s="163"/>
      <c r="S37" s="163">
        <v>-2500</v>
      </c>
      <c r="T37" s="163"/>
      <c r="U37" s="163">
        <v>-1500</v>
      </c>
      <c r="V37" s="12"/>
      <c r="W37" s="163"/>
      <c r="X37" s="163"/>
      <c r="Y37" s="163"/>
      <c r="Z37" s="163"/>
    </row>
    <row r="38" spans="1:26" s="89" customFormat="1" ht="16" thickBot="1">
      <c r="B38" s="134" t="s">
        <v>241</v>
      </c>
      <c r="C38" s="141" t="s">
        <v>244</v>
      </c>
      <c r="D38" s="142" t="s">
        <v>190</v>
      </c>
      <c r="E38" s="163"/>
      <c r="F38" s="163"/>
      <c r="G38" s="163"/>
      <c r="H38" s="163"/>
      <c r="I38" s="163">
        <v>-1799.72</v>
      </c>
      <c r="J38" s="163"/>
      <c r="K38" s="163"/>
      <c r="L38" s="163"/>
      <c r="M38" s="163">
        <v>-2843.52</v>
      </c>
      <c r="N38" s="163"/>
      <c r="O38" s="163"/>
      <c r="P38" s="163"/>
      <c r="Q38" s="163"/>
      <c r="R38" s="163"/>
      <c r="S38" s="163"/>
      <c r="T38" s="163"/>
      <c r="U38" s="163"/>
      <c r="V38" s="12"/>
      <c r="W38" s="163"/>
      <c r="X38" s="163"/>
      <c r="Y38" s="163"/>
      <c r="Z38" s="163"/>
    </row>
    <row r="39" spans="1:26" ht="31" thickBot="1">
      <c r="A39" s="147" t="s">
        <v>252</v>
      </c>
      <c r="B39" s="34" t="s">
        <v>45</v>
      </c>
      <c r="C39" s="36"/>
      <c r="E39" s="162">
        <f ca="1">SUM(E35:E38)</f>
        <v>-25969.02</v>
      </c>
      <c r="F39" s="162">
        <f t="shared" ref="F39:Z39" ca="1" si="8">SUM(F35:F38)</f>
        <v>0</v>
      </c>
      <c r="G39" s="162">
        <f t="shared" ca="1" si="8"/>
        <v>0</v>
      </c>
      <c r="H39" s="162">
        <f t="shared" ca="1" si="8"/>
        <v>0</v>
      </c>
      <c r="I39" s="162">
        <f t="shared" ca="1" si="8"/>
        <v>-5899.72</v>
      </c>
      <c r="J39" s="162">
        <f t="shared" ca="1" si="8"/>
        <v>0</v>
      </c>
      <c r="K39" s="162">
        <f t="shared" ca="1" si="8"/>
        <v>-2598.8000000000002</v>
      </c>
      <c r="L39" s="162">
        <f t="shared" ca="1" si="8"/>
        <v>0</v>
      </c>
      <c r="M39" s="162">
        <f t="shared" ca="1" si="8"/>
        <v>-6943.52</v>
      </c>
      <c r="N39" s="162">
        <f t="shared" ca="1" si="8"/>
        <v>0</v>
      </c>
      <c r="O39" s="162">
        <f t="shared" ca="1" si="8"/>
        <v>-2500</v>
      </c>
      <c r="P39" s="162">
        <f t="shared" ca="1" si="8"/>
        <v>0</v>
      </c>
      <c r="Q39" s="162">
        <f t="shared" ca="1" si="8"/>
        <v>-6600</v>
      </c>
      <c r="R39" s="162">
        <f t="shared" ca="1" si="8"/>
        <v>0</v>
      </c>
      <c r="S39" s="162">
        <f t="shared" ca="1" si="8"/>
        <v>-2500</v>
      </c>
      <c r="T39" s="162">
        <f t="shared" ca="1" si="8"/>
        <v>0</v>
      </c>
      <c r="U39" s="162">
        <f t="shared" ca="1" si="8"/>
        <v>-1500</v>
      </c>
      <c r="V39" s="162">
        <f t="shared" ca="1" si="8"/>
        <v>-4100</v>
      </c>
      <c r="W39" s="162">
        <f t="shared" ca="1" si="8"/>
        <v>0</v>
      </c>
      <c r="X39" s="162">
        <f t="shared" ca="1" si="8"/>
        <v>0</v>
      </c>
      <c r="Y39" s="162">
        <f t="shared" ca="1" si="8"/>
        <v>0</v>
      </c>
      <c r="Z39" s="162">
        <f t="shared" ca="1" si="8"/>
        <v>0</v>
      </c>
    </row>
    <row r="40" spans="1:26">
      <c r="B40" s="22"/>
      <c r="C40" s="24"/>
      <c r="E40" s="24"/>
      <c r="F40" s="24"/>
      <c r="G40" s="24"/>
      <c r="H40" s="24"/>
      <c r="I40" s="24"/>
      <c r="J40" s="24"/>
      <c r="K40" s="24"/>
      <c r="L40" s="24"/>
      <c r="M40" s="24"/>
      <c r="N40" s="24"/>
      <c r="O40" s="24"/>
      <c r="P40" s="24"/>
      <c r="Q40" s="24"/>
      <c r="R40" s="24"/>
      <c r="S40" s="24"/>
      <c r="T40" s="24"/>
      <c r="U40" s="24"/>
      <c r="V40" s="24"/>
      <c r="W40" s="24"/>
      <c r="X40" s="24"/>
      <c r="Y40" s="24"/>
      <c r="Z40" s="24"/>
    </row>
    <row r="41" spans="1:26">
      <c r="B41" s="31" t="s">
        <v>46</v>
      </c>
      <c r="C41" s="32"/>
      <c r="E41" s="32"/>
      <c r="F41" s="32"/>
      <c r="G41" s="32"/>
      <c r="H41" s="32"/>
      <c r="I41" s="32"/>
      <c r="J41" s="32"/>
      <c r="K41" s="32"/>
      <c r="L41" s="32"/>
      <c r="M41" s="32"/>
      <c r="N41" s="32"/>
      <c r="O41" s="32"/>
      <c r="P41" s="32"/>
      <c r="Q41" s="32"/>
      <c r="R41" s="32"/>
      <c r="S41" s="32"/>
      <c r="T41" s="32"/>
      <c r="U41" s="32"/>
      <c r="V41" s="32"/>
      <c r="W41" s="32"/>
      <c r="X41" s="32"/>
      <c r="Y41" s="32"/>
      <c r="Z41" s="32"/>
    </row>
    <row r="42" spans="1:26" ht="15" customHeight="1">
      <c r="B42" s="128" t="str">
        <f>'P&amp;L by Week Actuals'!A31</f>
        <v xml:space="preserve">      6-1030 Business Licenses and Permits</v>
      </c>
      <c r="C42" s="169" t="s">
        <v>240</v>
      </c>
      <c r="D42" s="142" t="s">
        <v>190</v>
      </c>
      <c r="E42" s="159">
        <v>0</v>
      </c>
      <c r="F42" s="160">
        <v>0</v>
      </c>
      <c r="G42" s="160">
        <v>-35</v>
      </c>
      <c r="H42" s="160">
        <v>-75</v>
      </c>
      <c r="I42" s="160">
        <v>0</v>
      </c>
      <c r="J42" s="160">
        <v>0</v>
      </c>
      <c r="K42" s="160">
        <v>0</v>
      </c>
      <c r="L42" s="160">
        <v>0</v>
      </c>
      <c r="M42" s="160">
        <v>0</v>
      </c>
      <c r="N42" s="160">
        <v>0</v>
      </c>
      <c r="O42" s="160">
        <v>0</v>
      </c>
      <c r="P42" s="160">
        <v>0</v>
      </c>
      <c r="Q42" s="160">
        <v>0</v>
      </c>
      <c r="R42" s="160">
        <v>0</v>
      </c>
      <c r="S42" s="160">
        <v>0</v>
      </c>
      <c r="T42" s="160">
        <v>0</v>
      </c>
      <c r="U42" s="160">
        <v>-75</v>
      </c>
      <c r="V42" s="160">
        <v>0</v>
      </c>
      <c r="W42" s="160">
        <v>0</v>
      </c>
      <c r="X42" s="160">
        <v>0</v>
      </c>
      <c r="Y42" s="160">
        <v>-75</v>
      </c>
      <c r="Z42" s="160">
        <v>0</v>
      </c>
    </row>
    <row r="43" spans="1:26">
      <c r="B43" s="128" t="str">
        <f>'P&amp;L by Week Actuals'!A32</f>
        <v xml:space="preserve">      6-1040 Computer and Internet Expenses</v>
      </c>
      <c r="C43" s="170"/>
      <c r="D43" s="142" t="s">
        <v>190</v>
      </c>
      <c r="E43" s="160">
        <v>-275</v>
      </c>
      <c r="F43" s="160">
        <v>0</v>
      </c>
      <c r="G43" s="160">
        <v>0</v>
      </c>
      <c r="H43" s="160">
        <v>0</v>
      </c>
      <c r="I43" s="160">
        <v>-275</v>
      </c>
      <c r="J43" s="160">
        <v>0</v>
      </c>
      <c r="K43" s="160">
        <v>0</v>
      </c>
      <c r="L43" s="160">
        <v>0</v>
      </c>
      <c r="M43" s="160">
        <v>-275</v>
      </c>
      <c r="N43" s="160">
        <v>0</v>
      </c>
      <c r="O43" s="160">
        <v>0</v>
      </c>
      <c r="P43" s="160">
        <v>0</v>
      </c>
      <c r="Q43" s="160">
        <v>-275</v>
      </c>
      <c r="R43" s="160">
        <v>0</v>
      </c>
      <c r="S43" s="160">
        <v>0</v>
      </c>
      <c r="T43" s="160">
        <v>0</v>
      </c>
      <c r="U43" s="160">
        <v>0</v>
      </c>
      <c r="V43" s="160">
        <v>-275</v>
      </c>
      <c r="W43" s="160">
        <v>0</v>
      </c>
      <c r="X43" s="160">
        <v>0</v>
      </c>
      <c r="Y43" s="160">
        <v>0</v>
      </c>
      <c r="Z43" s="160">
        <v>-275</v>
      </c>
    </row>
    <row r="44" spans="1:26">
      <c r="B44" s="128" t="str">
        <f>'P&amp;L by Week Actuals'!A34</f>
        <v xml:space="preserve">         6-1051 General Liability Insurance</v>
      </c>
      <c r="C44" s="170"/>
      <c r="D44" s="142" t="s">
        <v>190</v>
      </c>
      <c r="E44" s="159">
        <v>0</v>
      </c>
      <c r="F44" s="159">
        <v>0</v>
      </c>
      <c r="G44" s="160">
        <v>0</v>
      </c>
      <c r="H44" s="160">
        <v>0</v>
      </c>
      <c r="I44" s="160">
        <v>0</v>
      </c>
      <c r="J44" s="160">
        <v>0</v>
      </c>
      <c r="K44" s="160">
        <v>-169.88</v>
      </c>
      <c r="L44" s="160">
        <v>0</v>
      </c>
      <c r="M44" s="160">
        <v>0</v>
      </c>
      <c r="N44" s="160">
        <v>0</v>
      </c>
      <c r="O44" s="160">
        <v>0</v>
      </c>
      <c r="P44" s="160">
        <v>-175.55</v>
      </c>
      <c r="Q44" s="160">
        <v>0</v>
      </c>
      <c r="R44" s="160">
        <v>0</v>
      </c>
      <c r="S44" s="160">
        <v>0</v>
      </c>
      <c r="T44" s="160">
        <v>0</v>
      </c>
      <c r="U44" s="160">
        <v>0</v>
      </c>
      <c r="V44" s="160">
        <v>0</v>
      </c>
      <c r="W44" s="159">
        <v>0</v>
      </c>
      <c r="X44" s="159">
        <v>-169.88</v>
      </c>
      <c r="Y44" s="159">
        <v>0</v>
      </c>
      <c r="Z44" s="159">
        <v>0</v>
      </c>
    </row>
    <row r="45" spans="1:26">
      <c r="B45" s="128" t="str">
        <f>'P&amp;L by Week Actuals'!A35</f>
        <v xml:space="preserve">         6-1052 Executive Risk</v>
      </c>
      <c r="C45" s="170"/>
      <c r="D45" s="142" t="s">
        <v>190</v>
      </c>
      <c r="E45" s="160">
        <v>0</v>
      </c>
      <c r="F45" s="160">
        <v>0</v>
      </c>
      <c r="G45" s="160">
        <v>0</v>
      </c>
      <c r="H45" s="160">
        <v>0</v>
      </c>
      <c r="I45" s="160">
        <v>0</v>
      </c>
      <c r="J45" s="160">
        <v>0</v>
      </c>
      <c r="K45" s="160">
        <v>0</v>
      </c>
      <c r="L45" s="160">
        <v>0</v>
      </c>
      <c r="M45" s="160">
        <v>0</v>
      </c>
      <c r="N45" s="160">
        <v>0</v>
      </c>
      <c r="O45" s="160">
        <v>0</v>
      </c>
      <c r="P45" s="160">
        <v>0</v>
      </c>
      <c r="Q45" s="160">
        <v>0</v>
      </c>
      <c r="R45" s="160">
        <v>0</v>
      </c>
      <c r="S45" s="160">
        <v>0</v>
      </c>
      <c r="T45" s="160">
        <v>0</v>
      </c>
      <c r="U45" s="160">
        <v>0</v>
      </c>
      <c r="V45" s="160">
        <v>0</v>
      </c>
      <c r="W45" s="160">
        <v>0</v>
      </c>
      <c r="X45" s="160">
        <v>0</v>
      </c>
      <c r="Y45" s="160">
        <v>0</v>
      </c>
      <c r="Z45" s="160">
        <v>0</v>
      </c>
    </row>
    <row r="46" spans="1:26">
      <c r="B46" s="128" t="str">
        <f>'P&amp;L by Week Actuals'!A37</f>
        <v xml:space="preserve">      6-1060 Meals and Entertainment</v>
      </c>
      <c r="C46" s="170"/>
      <c r="D46" s="142" t="s">
        <v>190</v>
      </c>
      <c r="E46" s="160">
        <v>-150</v>
      </c>
      <c r="F46" s="160">
        <v>-150</v>
      </c>
      <c r="G46" s="160">
        <v>-150</v>
      </c>
      <c r="H46" s="160">
        <v>-150</v>
      </c>
      <c r="I46" s="160">
        <v>-150</v>
      </c>
      <c r="J46" s="160">
        <v>-150</v>
      </c>
      <c r="K46" s="160">
        <v>-150</v>
      </c>
      <c r="L46" s="160">
        <v>-150</v>
      </c>
      <c r="M46" s="160">
        <v>-150</v>
      </c>
      <c r="N46" s="160">
        <v>-150</v>
      </c>
      <c r="O46" s="160">
        <v>-150</v>
      </c>
      <c r="P46" s="160">
        <v>-150</v>
      </c>
      <c r="Q46" s="160">
        <v>-150</v>
      </c>
      <c r="R46" s="160">
        <v>-150</v>
      </c>
      <c r="S46" s="160">
        <v>-150</v>
      </c>
      <c r="T46" s="160">
        <v>-150</v>
      </c>
      <c r="U46" s="160">
        <v>-150</v>
      </c>
      <c r="V46" s="160">
        <v>-150</v>
      </c>
      <c r="W46" s="160">
        <v>-150</v>
      </c>
      <c r="X46" s="160">
        <v>-150</v>
      </c>
      <c r="Y46" s="160">
        <v>-150</v>
      </c>
      <c r="Z46" s="160">
        <v>-150</v>
      </c>
    </row>
    <row r="47" spans="1:26">
      <c r="B47" s="128" t="str">
        <f>'P&amp;L by Week Actuals'!A38</f>
        <v xml:space="preserve">      6-1070 Office Supplies</v>
      </c>
      <c r="C47" s="170"/>
      <c r="D47" s="142" t="s">
        <v>190</v>
      </c>
      <c r="E47" s="160">
        <v>-250</v>
      </c>
      <c r="F47" s="160">
        <v>-250</v>
      </c>
      <c r="G47" s="160">
        <v>-250</v>
      </c>
      <c r="H47" s="160">
        <v>-250</v>
      </c>
      <c r="I47" s="160">
        <v>-250</v>
      </c>
      <c r="J47" s="160">
        <v>-250</v>
      </c>
      <c r="K47" s="160">
        <v>-250</v>
      </c>
      <c r="L47" s="160">
        <v>-250</v>
      </c>
      <c r="M47" s="160">
        <v>-250</v>
      </c>
      <c r="N47" s="160">
        <v>-250</v>
      </c>
      <c r="O47" s="160">
        <v>-250</v>
      </c>
      <c r="P47" s="160">
        <v>-250</v>
      </c>
      <c r="Q47" s="160">
        <v>-250</v>
      </c>
      <c r="R47" s="160">
        <v>-250</v>
      </c>
      <c r="S47" s="160">
        <v>-250</v>
      </c>
      <c r="T47" s="160">
        <v>-250</v>
      </c>
      <c r="U47" s="160">
        <v>-250</v>
      </c>
      <c r="V47" s="160">
        <v>-250</v>
      </c>
      <c r="W47" s="160">
        <v>-250</v>
      </c>
      <c r="X47" s="160">
        <v>-250</v>
      </c>
      <c r="Y47" s="160">
        <v>-250</v>
      </c>
      <c r="Z47" s="160">
        <v>-250</v>
      </c>
    </row>
    <row r="48" spans="1:26" s="89" customFormat="1">
      <c r="B48" s="128" t="str">
        <f>'P&amp;L by Week Actuals'!A40</f>
        <v xml:space="preserve">         6-1081 Legal</v>
      </c>
      <c r="C48" s="170"/>
      <c r="D48" s="142" t="s">
        <v>190</v>
      </c>
      <c r="E48" s="160">
        <v>-1000</v>
      </c>
      <c r="F48" s="160">
        <v>0</v>
      </c>
      <c r="G48" s="160">
        <v>0</v>
      </c>
      <c r="H48" s="160">
        <v>0</v>
      </c>
      <c r="I48" s="160">
        <v>-1000</v>
      </c>
      <c r="J48" s="160">
        <v>0</v>
      </c>
      <c r="K48" s="160">
        <v>0</v>
      </c>
      <c r="L48" s="160">
        <v>0</v>
      </c>
      <c r="M48" s="160">
        <v>-750</v>
      </c>
      <c r="N48" s="160">
        <v>0</v>
      </c>
      <c r="O48" s="160">
        <v>0</v>
      </c>
      <c r="P48" s="160">
        <v>0</v>
      </c>
      <c r="Q48" s="160">
        <v>0</v>
      </c>
      <c r="R48" s="160">
        <v>-750</v>
      </c>
      <c r="S48" s="160">
        <v>0</v>
      </c>
      <c r="T48" s="160">
        <v>0</v>
      </c>
      <c r="U48" s="160">
        <v>0</v>
      </c>
      <c r="V48" s="160">
        <v>-1000</v>
      </c>
      <c r="W48" s="160">
        <v>0</v>
      </c>
      <c r="X48" s="160">
        <v>0</v>
      </c>
      <c r="Y48" s="160">
        <v>0</v>
      </c>
      <c r="Z48" s="160">
        <v>-1000</v>
      </c>
    </row>
    <row r="49" spans="1:26" s="89" customFormat="1">
      <c r="B49" s="128" t="str">
        <f>'P&amp;L by Week Actuals'!A41</f>
        <v xml:space="preserve">         6-1082 Janitorial</v>
      </c>
      <c r="C49" s="170"/>
      <c r="D49" s="142" t="s">
        <v>190</v>
      </c>
      <c r="E49" s="160">
        <v>0</v>
      </c>
      <c r="F49" s="160">
        <v>0</v>
      </c>
      <c r="G49" s="160">
        <v>-160</v>
      </c>
      <c r="H49" s="160">
        <v>0</v>
      </c>
      <c r="I49" s="160">
        <v>0</v>
      </c>
      <c r="J49" s="160">
        <v>0</v>
      </c>
      <c r="K49" s="160">
        <v>-160</v>
      </c>
      <c r="L49" s="160">
        <v>0</v>
      </c>
      <c r="M49" s="160">
        <v>0</v>
      </c>
      <c r="N49" s="160">
        <v>0</v>
      </c>
      <c r="O49" s="160">
        <v>-160</v>
      </c>
      <c r="P49" s="160">
        <v>-160</v>
      </c>
      <c r="Q49" s="160">
        <v>0</v>
      </c>
      <c r="R49" s="160">
        <v>0</v>
      </c>
      <c r="S49" s="160">
        <v>-160</v>
      </c>
      <c r="T49" s="160">
        <v>0</v>
      </c>
      <c r="U49" s="160">
        <v>0</v>
      </c>
      <c r="V49" s="160">
        <v>0</v>
      </c>
      <c r="W49" s="160">
        <v>0</v>
      </c>
      <c r="X49" s="160">
        <v>-160</v>
      </c>
      <c r="Y49" s="160">
        <v>0</v>
      </c>
      <c r="Z49" s="160">
        <v>0</v>
      </c>
    </row>
    <row r="50" spans="1:26" s="89" customFormat="1">
      <c r="B50" s="128" t="str">
        <f>'P&amp;L by Week Actuals'!A42</f>
        <v xml:space="preserve">         6-1083 Accounting</v>
      </c>
      <c r="C50" s="170"/>
      <c r="D50" s="142" t="s">
        <v>190</v>
      </c>
      <c r="E50" s="160">
        <v>-2000</v>
      </c>
      <c r="F50" s="160">
        <v>0</v>
      </c>
      <c r="G50" s="160">
        <v>0</v>
      </c>
      <c r="H50" s="160">
        <v>0</v>
      </c>
      <c r="I50" s="160">
        <v>-2000</v>
      </c>
      <c r="J50" s="160">
        <v>0</v>
      </c>
      <c r="K50" s="160">
        <v>0</v>
      </c>
      <c r="L50" s="160">
        <v>0</v>
      </c>
      <c r="M50" s="160">
        <v>-2000</v>
      </c>
      <c r="N50" s="160">
        <v>0</v>
      </c>
      <c r="O50" s="160">
        <v>0</v>
      </c>
      <c r="P50" s="160">
        <v>0</v>
      </c>
      <c r="Q50" s="160">
        <v>-2000</v>
      </c>
      <c r="R50" s="160">
        <v>0</v>
      </c>
      <c r="S50" s="160">
        <v>0</v>
      </c>
      <c r="T50" s="160">
        <v>-2000</v>
      </c>
      <c r="U50" s="160">
        <v>0</v>
      </c>
      <c r="V50" s="160">
        <v>-2000</v>
      </c>
      <c r="W50" s="160">
        <v>0</v>
      </c>
      <c r="X50" s="160">
        <v>0</v>
      </c>
      <c r="Y50" s="160">
        <v>0</v>
      </c>
      <c r="Z50" s="160">
        <v>-2000</v>
      </c>
    </row>
    <row r="51" spans="1:26" s="89" customFormat="1">
      <c r="B51" s="128" t="str">
        <f>'P&amp;L by Week Actuals'!A44</f>
        <v xml:space="preserve">      6-1090 Utilities</v>
      </c>
      <c r="C51" s="170"/>
      <c r="D51" s="142" t="s">
        <v>190</v>
      </c>
      <c r="E51" s="160">
        <v>0</v>
      </c>
      <c r="F51" s="160">
        <v>0</v>
      </c>
      <c r="G51" s="160">
        <v>-300</v>
      </c>
      <c r="H51" s="160">
        <v>0</v>
      </c>
      <c r="I51" s="160">
        <v>0</v>
      </c>
      <c r="J51" s="160">
        <v>0</v>
      </c>
      <c r="K51" s="160">
        <v>-300</v>
      </c>
      <c r="L51" s="160">
        <v>0</v>
      </c>
      <c r="M51" s="160">
        <v>0</v>
      </c>
      <c r="N51" s="160">
        <v>0</v>
      </c>
      <c r="O51" s="160">
        <v>-300</v>
      </c>
      <c r="P51" s="160">
        <v>0</v>
      </c>
      <c r="Q51" s="160">
        <v>0</v>
      </c>
      <c r="R51" s="160">
        <v>0</v>
      </c>
      <c r="S51" s="160">
        <v>-300</v>
      </c>
      <c r="T51" s="160">
        <v>0</v>
      </c>
      <c r="U51" s="160">
        <v>0</v>
      </c>
      <c r="V51" s="160">
        <v>0</v>
      </c>
      <c r="W51" s="160">
        <v>0</v>
      </c>
      <c r="X51" s="160">
        <v>-300</v>
      </c>
      <c r="Y51" s="160">
        <v>0</v>
      </c>
      <c r="Z51" s="160">
        <v>0</v>
      </c>
    </row>
    <row r="52" spans="1:26" s="89" customFormat="1">
      <c r="B52" s="128" t="str">
        <f>'P&amp;L by Week Actuals'!A45</f>
        <v xml:space="preserve">      6-1100 Bank Service Charges</v>
      </c>
      <c r="C52" s="170"/>
      <c r="D52" s="142" t="s">
        <v>190</v>
      </c>
      <c r="E52" s="160">
        <v>-20</v>
      </c>
      <c r="F52" s="160">
        <v>-20</v>
      </c>
      <c r="G52" s="160">
        <v>-20</v>
      </c>
      <c r="H52" s="160">
        <v>-20</v>
      </c>
      <c r="I52" s="160">
        <v>-20</v>
      </c>
      <c r="J52" s="160">
        <v>-20</v>
      </c>
      <c r="K52" s="160">
        <v>-20</v>
      </c>
      <c r="L52" s="160">
        <v>-20</v>
      </c>
      <c r="M52" s="160">
        <v>-20</v>
      </c>
      <c r="N52" s="160">
        <v>-20</v>
      </c>
      <c r="O52" s="160">
        <v>-20</v>
      </c>
      <c r="P52" s="160">
        <v>-20</v>
      </c>
      <c r="Q52" s="160">
        <v>-20</v>
      </c>
      <c r="R52" s="160">
        <v>-20</v>
      </c>
      <c r="S52" s="160">
        <v>-20</v>
      </c>
      <c r="T52" s="160">
        <v>-20</v>
      </c>
      <c r="U52" s="160">
        <v>-20</v>
      </c>
      <c r="V52" s="160">
        <v>-20</v>
      </c>
      <c r="W52" s="160">
        <v>-20</v>
      </c>
      <c r="X52" s="160">
        <v>-20</v>
      </c>
      <c r="Y52" s="160">
        <v>-20</v>
      </c>
      <c r="Z52" s="160">
        <v>-20</v>
      </c>
    </row>
    <row r="53" spans="1:26" s="89" customFormat="1">
      <c r="B53" s="128" t="str">
        <f>'P&amp;L by Week Actuals'!A46</f>
        <v xml:space="preserve">      6-1110 Continuing Education</v>
      </c>
      <c r="C53" s="170"/>
      <c r="D53" s="142" t="s">
        <v>190</v>
      </c>
      <c r="E53" s="160">
        <v>-110</v>
      </c>
      <c r="F53" s="160">
        <v>0</v>
      </c>
      <c r="G53" s="160">
        <v>0</v>
      </c>
      <c r="H53" s="160">
        <v>0</v>
      </c>
      <c r="I53" s="160">
        <v>-110</v>
      </c>
      <c r="J53" s="160">
        <v>0</v>
      </c>
      <c r="K53" s="160">
        <v>0</v>
      </c>
      <c r="L53" s="160">
        <v>0</v>
      </c>
      <c r="M53" s="160">
        <v>-110</v>
      </c>
      <c r="N53" s="160">
        <v>0</v>
      </c>
      <c r="O53" s="160">
        <v>0</v>
      </c>
      <c r="P53" s="160">
        <v>0</v>
      </c>
      <c r="Q53" s="160">
        <v>-110</v>
      </c>
      <c r="R53" s="160">
        <v>0</v>
      </c>
      <c r="S53" s="160">
        <v>0</v>
      </c>
      <c r="T53" s="160">
        <v>-110</v>
      </c>
      <c r="U53" s="160">
        <v>0</v>
      </c>
      <c r="V53" s="160">
        <v>-110</v>
      </c>
      <c r="W53" s="160">
        <v>0</v>
      </c>
      <c r="X53" s="160">
        <v>0</v>
      </c>
      <c r="Y53" s="160">
        <v>0</v>
      </c>
      <c r="Z53" s="160">
        <v>-110</v>
      </c>
    </row>
    <row r="54" spans="1:26" s="89" customFormat="1">
      <c r="B54" s="128" t="str">
        <f>'P&amp;L by Week Actuals'!A47</f>
        <v xml:space="preserve">      6-1120 Dues and Subscriptions</v>
      </c>
      <c r="C54" s="171" t="s">
        <v>243</v>
      </c>
      <c r="D54" s="142" t="s">
        <v>190</v>
      </c>
      <c r="E54" s="160">
        <v>-100</v>
      </c>
      <c r="F54" s="160">
        <v>-275</v>
      </c>
      <c r="G54" s="160">
        <v>-700</v>
      </c>
      <c r="H54" s="160">
        <v>-100</v>
      </c>
      <c r="I54" s="160">
        <v>-100</v>
      </c>
      <c r="J54" s="160">
        <v>-275</v>
      </c>
      <c r="K54" s="160">
        <v>-700</v>
      </c>
      <c r="L54" s="160">
        <v>-100</v>
      </c>
      <c r="M54" s="160">
        <v>-100</v>
      </c>
      <c r="N54" s="160">
        <v>-275</v>
      </c>
      <c r="O54" s="160">
        <v>-700</v>
      </c>
      <c r="P54" s="160">
        <v>-100</v>
      </c>
      <c r="Q54" s="160">
        <v>-100</v>
      </c>
      <c r="R54" s="160">
        <v>-275</v>
      </c>
      <c r="S54" s="160">
        <v>-700</v>
      </c>
      <c r="T54" s="160">
        <v>-100</v>
      </c>
      <c r="U54" s="160">
        <v>-100</v>
      </c>
      <c r="V54" s="160">
        <v>-100</v>
      </c>
      <c r="W54" s="160">
        <v>-275</v>
      </c>
      <c r="X54" s="160">
        <v>-700</v>
      </c>
      <c r="Y54" s="160">
        <v>-100</v>
      </c>
      <c r="Z54" s="160">
        <v>-100</v>
      </c>
    </row>
    <row r="55" spans="1:26" s="89" customFormat="1">
      <c r="B55" s="128" t="str">
        <f>'P&amp;L by Week Actuals'!A48</f>
        <v xml:space="preserve">      6-1150 Postage and Delivery</v>
      </c>
      <c r="C55" s="171"/>
      <c r="D55" s="142" t="s">
        <v>190</v>
      </c>
      <c r="E55" s="160">
        <v>-25</v>
      </c>
      <c r="F55" s="160">
        <v>-25</v>
      </c>
      <c r="G55" s="160">
        <v>-25</v>
      </c>
      <c r="H55" s="160">
        <v>-25</v>
      </c>
      <c r="I55" s="160">
        <v>-25</v>
      </c>
      <c r="J55" s="160">
        <v>-25</v>
      </c>
      <c r="K55" s="160">
        <v>-25</v>
      </c>
      <c r="L55" s="160">
        <v>-25</v>
      </c>
      <c r="M55" s="160">
        <v>-25</v>
      </c>
      <c r="N55" s="160">
        <v>-25</v>
      </c>
      <c r="O55" s="160">
        <v>-25</v>
      </c>
      <c r="P55" s="160">
        <v>-25</v>
      </c>
      <c r="Q55" s="160">
        <v>-25</v>
      </c>
      <c r="R55" s="160">
        <v>-25</v>
      </c>
      <c r="S55" s="160">
        <v>-25</v>
      </c>
      <c r="T55" s="160">
        <v>-25</v>
      </c>
      <c r="U55" s="160">
        <v>-25</v>
      </c>
      <c r="V55" s="160">
        <v>-25</v>
      </c>
      <c r="W55" s="160">
        <v>-25</v>
      </c>
      <c r="X55" s="160">
        <v>-25</v>
      </c>
      <c r="Y55" s="160">
        <v>-25</v>
      </c>
      <c r="Z55" s="160">
        <v>-25</v>
      </c>
    </row>
    <row r="56" spans="1:26" s="89" customFormat="1">
      <c r="B56" s="128" t="str">
        <f>'P&amp;L by Week Actuals'!A49</f>
        <v xml:space="preserve">      6-1160 Rent Expense</v>
      </c>
      <c r="C56" s="171"/>
      <c r="D56" s="142" t="s">
        <v>190</v>
      </c>
      <c r="E56" s="160">
        <v>0</v>
      </c>
      <c r="F56" s="160">
        <v>0</v>
      </c>
      <c r="G56" s="160">
        <v>-2601</v>
      </c>
      <c r="H56" s="160">
        <v>0</v>
      </c>
      <c r="I56" s="160">
        <v>0</v>
      </c>
      <c r="J56" s="160">
        <v>0</v>
      </c>
      <c r="K56" s="160">
        <v>-2601</v>
      </c>
      <c r="L56" s="160">
        <v>0</v>
      </c>
      <c r="M56" s="160">
        <v>0</v>
      </c>
      <c r="N56" s="160">
        <v>0</v>
      </c>
      <c r="O56" s="160">
        <v>-2601</v>
      </c>
      <c r="P56" s="160">
        <v>0</v>
      </c>
      <c r="Q56" s="160">
        <v>0</v>
      </c>
      <c r="R56" s="160">
        <v>0</v>
      </c>
      <c r="S56" s="160">
        <v>-2601</v>
      </c>
      <c r="T56" s="160">
        <v>0</v>
      </c>
      <c r="U56" s="160">
        <v>0</v>
      </c>
      <c r="V56" s="160">
        <v>0</v>
      </c>
      <c r="W56" s="160">
        <v>0</v>
      </c>
      <c r="X56" s="160">
        <v>-2601</v>
      </c>
      <c r="Y56" s="160">
        <v>0</v>
      </c>
      <c r="Z56" s="160">
        <v>0</v>
      </c>
    </row>
    <row r="57" spans="1:26" s="89" customFormat="1">
      <c r="B57" s="128" t="str">
        <f>'P&amp;L by Week Actuals'!A50</f>
        <v xml:space="preserve">      6-1180 Telephone Expense</v>
      </c>
      <c r="C57" s="171"/>
      <c r="D57" s="142" t="s">
        <v>190</v>
      </c>
      <c r="E57" s="160">
        <v>0</v>
      </c>
      <c r="F57" s="160">
        <v>0</v>
      </c>
      <c r="G57" s="160">
        <v>-80</v>
      </c>
      <c r="H57" s="160">
        <v>0</v>
      </c>
      <c r="I57" s="160">
        <v>0</v>
      </c>
      <c r="J57" s="160">
        <v>0</v>
      </c>
      <c r="K57" s="160">
        <v>-80</v>
      </c>
      <c r="L57" s="160">
        <v>0</v>
      </c>
      <c r="M57" s="160">
        <v>0</v>
      </c>
      <c r="N57" s="160">
        <v>0</v>
      </c>
      <c r="O57" s="160">
        <v>-80</v>
      </c>
      <c r="P57" s="160">
        <v>0</v>
      </c>
      <c r="Q57" s="160">
        <v>0</v>
      </c>
      <c r="R57" s="160">
        <v>0</v>
      </c>
      <c r="S57" s="160">
        <v>-80</v>
      </c>
      <c r="T57" s="160">
        <v>0</v>
      </c>
      <c r="U57" s="160">
        <v>0</v>
      </c>
      <c r="V57" s="160">
        <v>0</v>
      </c>
      <c r="W57" s="160">
        <v>0</v>
      </c>
      <c r="X57" s="160">
        <v>-80</v>
      </c>
      <c r="Y57" s="160">
        <v>0</v>
      </c>
      <c r="Z57" s="160">
        <v>0</v>
      </c>
    </row>
    <row r="58" spans="1:26" s="89" customFormat="1">
      <c r="B58" s="128" t="str">
        <f>'P&amp;L by Week Actuals'!A51</f>
        <v xml:space="preserve">      6-1190 Franchise Taxes</v>
      </c>
      <c r="C58" s="171"/>
      <c r="D58" s="142" t="s">
        <v>190</v>
      </c>
      <c r="E58" s="160">
        <v>0</v>
      </c>
      <c r="F58" s="160">
        <v>0</v>
      </c>
      <c r="G58" s="160">
        <v>0</v>
      </c>
      <c r="H58" s="160">
        <v>0</v>
      </c>
      <c r="I58" s="160">
        <v>0</v>
      </c>
      <c r="J58" s="160">
        <v>0</v>
      </c>
      <c r="K58" s="160">
        <v>0</v>
      </c>
      <c r="L58" s="160">
        <v>0</v>
      </c>
      <c r="M58" s="160">
        <v>0</v>
      </c>
      <c r="N58" s="160">
        <v>0</v>
      </c>
      <c r="O58" s="160">
        <v>0</v>
      </c>
      <c r="P58" s="160">
        <v>0</v>
      </c>
      <c r="Q58" s="160">
        <v>0</v>
      </c>
      <c r="R58" s="160">
        <v>0</v>
      </c>
      <c r="S58" s="160">
        <v>0</v>
      </c>
      <c r="T58" s="160">
        <v>0</v>
      </c>
      <c r="U58" s="160">
        <v>0</v>
      </c>
      <c r="V58" s="160">
        <v>0</v>
      </c>
      <c r="W58" s="160">
        <v>0</v>
      </c>
      <c r="X58" s="160">
        <v>0</v>
      </c>
      <c r="Y58" s="160">
        <v>0</v>
      </c>
      <c r="Z58" s="160">
        <v>0</v>
      </c>
    </row>
    <row r="59" spans="1:26" s="89" customFormat="1">
      <c r="B59" s="128" t="str">
        <f>'P&amp;L by Week Actuals'!A63</f>
        <v xml:space="preserve">      6-4010 Platform Development</v>
      </c>
      <c r="C59" s="171"/>
      <c r="D59" s="142" t="s">
        <v>190</v>
      </c>
      <c r="E59" s="160">
        <v>-525</v>
      </c>
      <c r="F59" s="160">
        <v>-525</v>
      </c>
      <c r="G59" s="160">
        <v>0</v>
      </c>
      <c r="H59" s="160">
        <v>-100</v>
      </c>
      <c r="I59" s="160">
        <v>-525</v>
      </c>
      <c r="J59" s="160">
        <v>-525</v>
      </c>
      <c r="K59" s="160">
        <v>0</v>
      </c>
      <c r="L59" s="160">
        <v>-100</v>
      </c>
      <c r="M59" s="160">
        <v>-525</v>
      </c>
      <c r="N59" s="160">
        <v>-525</v>
      </c>
      <c r="O59" s="160">
        <v>0</v>
      </c>
      <c r="P59" s="160">
        <v>-100</v>
      </c>
      <c r="Q59" s="160">
        <v>-525</v>
      </c>
      <c r="R59" s="160">
        <v>-525</v>
      </c>
      <c r="S59" s="160">
        <v>0</v>
      </c>
      <c r="T59" s="160">
        <v>-525</v>
      </c>
      <c r="U59" s="160">
        <v>-100</v>
      </c>
      <c r="V59" s="160">
        <v>-525</v>
      </c>
      <c r="W59" s="160">
        <v>-525</v>
      </c>
      <c r="X59" s="160">
        <v>0</v>
      </c>
      <c r="Y59" s="160">
        <v>-100</v>
      </c>
      <c r="Z59" s="160">
        <v>-525</v>
      </c>
    </row>
    <row r="60" spans="1:26" s="89" customFormat="1">
      <c r="B60" s="128" t="str">
        <f>'P&amp;L by Week Actuals'!A64</f>
        <v xml:space="preserve">         6-4011 Platform Contractors</v>
      </c>
      <c r="C60" s="171"/>
      <c r="D60" s="142" t="s">
        <v>190</v>
      </c>
      <c r="E60" s="160">
        <v>0</v>
      </c>
      <c r="F60" s="160">
        <v>0</v>
      </c>
      <c r="G60" s="160">
        <v>-12250</v>
      </c>
      <c r="H60" s="160">
        <v>0</v>
      </c>
      <c r="I60" s="160">
        <v>0</v>
      </c>
      <c r="J60" s="160">
        <v>0</v>
      </c>
      <c r="K60" s="160">
        <v>-12250</v>
      </c>
      <c r="L60" s="160">
        <v>0</v>
      </c>
      <c r="M60" s="160">
        <v>0</v>
      </c>
      <c r="N60" s="160">
        <v>0</v>
      </c>
      <c r="O60" s="160">
        <v>-12250</v>
      </c>
      <c r="P60" s="160">
        <v>0</v>
      </c>
      <c r="Q60" s="160">
        <v>0</v>
      </c>
      <c r="R60" s="160">
        <v>0</v>
      </c>
      <c r="S60" s="160">
        <v>-12250</v>
      </c>
      <c r="T60" s="160">
        <v>0</v>
      </c>
      <c r="U60" s="160">
        <v>0</v>
      </c>
      <c r="V60" s="160">
        <v>0</v>
      </c>
      <c r="W60" s="160">
        <v>0</v>
      </c>
      <c r="X60" s="160">
        <v>-12250</v>
      </c>
      <c r="Y60" s="160">
        <v>0</v>
      </c>
      <c r="Z60" s="160">
        <v>0</v>
      </c>
    </row>
    <row r="61" spans="1:26" s="89" customFormat="1">
      <c r="B61" s="128" t="str">
        <f>'P&amp;L by Week Actuals'!A72</f>
        <v xml:space="preserve">      6-6080 Worker's Compensation</v>
      </c>
      <c r="C61" s="171"/>
      <c r="D61" s="142" t="s">
        <v>190</v>
      </c>
      <c r="E61" s="160">
        <v>0</v>
      </c>
      <c r="F61" s="160">
        <v>-310.75</v>
      </c>
      <c r="G61" s="160">
        <v>0</v>
      </c>
      <c r="H61" s="160">
        <v>-310.75</v>
      </c>
      <c r="I61" s="160">
        <v>0</v>
      </c>
      <c r="J61" s="160">
        <v>0</v>
      </c>
      <c r="K61" s="160">
        <v>-310.75</v>
      </c>
      <c r="L61" s="160">
        <v>0</v>
      </c>
      <c r="M61" s="160">
        <v>-310.75</v>
      </c>
      <c r="N61" s="160">
        <v>0</v>
      </c>
      <c r="O61" s="160">
        <v>-310.75</v>
      </c>
      <c r="P61" s="160">
        <v>0</v>
      </c>
      <c r="Q61" s="160">
        <v>-310.75</v>
      </c>
      <c r="R61" s="160">
        <v>0</v>
      </c>
      <c r="S61" s="160">
        <v>-310.75</v>
      </c>
      <c r="T61" s="160">
        <v>0</v>
      </c>
      <c r="U61" s="160">
        <v>-310.75</v>
      </c>
      <c r="V61" s="160">
        <v>0</v>
      </c>
      <c r="W61" s="160">
        <v>-310.75</v>
      </c>
      <c r="X61" s="160">
        <v>0</v>
      </c>
      <c r="Y61" s="160">
        <v>-310.75</v>
      </c>
      <c r="Z61" s="160">
        <v>0</v>
      </c>
    </row>
    <row r="62" spans="1:26" ht="16" thickBot="1">
      <c r="B62" s="39" t="s">
        <v>47</v>
      </c>
      <c r="C62" s="90" t="s">
        <v>172</v>
      </c>
      <c r="D62" s="143" t="s">
        <v>192</v>
      </c>
      <c r="E62" s="161">
        <f>-'T&amp;E Budget'!$D31/5</f>
        <v>-650</v>
      </c>
      <c r="F62" s="161">
        <f>-'T&amp;E Budget'!$D31/5</f>
        <v>-650</v>
      </c>
      <c r="G62" s="161">
        <f>-'T&amp;E Budget'!$D31/5</f>
        <v>-650</v>
      </c>
      <c r="H62" s="161">
        <f>-'T&amp;E Budget'!$E31/4</f>
        <v>-812.5</v>
      </c>
      <c r="I62" s="161">
        <f>-'T&amp;E Budget'!$E31/4</f>
        <v>-812.5</v>
      </c>
      <c r="J62" s="161">
        <f>-'T&amp;E Budget'!$E31/4</f>
        <v>-812.5</v>
      </c>
      <c r="K62" s="161">
        <f>-'T&amp;E Budget'!$E31/4</f>
        <v>-812.5</v>
      </c>
      <c r="L62" s="161">
        <f>-'T&amp;E Budget'!$F31/4</f>
        <v>-2062.5</v>
      </c>
      <c r="M62" s="161">
        <f>-'T&amp;E Budget'!$F31/4</f>
        <v>-2062.5</v>
      </c>
      <c r="N62" s="161">
        <f>-'T&amp;E Budget'!$F31/4</f>
        <v>-2062.5</v>
      </c>
      <c r="O62" s="161">
        <f>-'T&amp;E Budget'!$F31/4</f>
        <v>-2062.5</v>
      </c>
      <c r="P62" s="161">
        <f>-'T&amp;E Budget'!$G31/5</f>
        <v>-650</v>
      </c>
      <c r="Q62" s="161">
        <f>-'T&amp;E Budget'!$G31/5</f>
        <v>-650</v>
      </c>
      <c r="R62" s="161">
        <f>-'T&amp;E Budget'!$G31/5</f>
        <v>-650</v>
      </c>
      <c r="S62" s="161">
        <f>-'T&amp;E Budget'!$G31/5</f>
        <v>-650</v>
      </c>
      <c r="T62" s="161">
        <f>-'T&amp;E Budget'!$G31/5</f>
        <v>-650</v>
      </c>
      <c r="U62" s="161">
        <f>-'T&amp;E Budget'!$H31/4</f>
        <v>-812.5</v>
      </c>
      <c r="V62" s="161">
        <f>-'T&amp;E Budget'!$H31/4</f>
        <v>-812.5</v>
      </c>
      <c r="W62" s="161">
        <f>-'T&amp;E Budget'!$H31/4</f>
        <v>-812.5</v>
      </c>
      <c r="X62" s="161">
        <f>-'T&amp;E Budget'!$H31/4</f>
        <v>-812.5</v>
      </c>
      <c r="Y62" s="161">
        <f>-'T&amp;E Budget'!$I31/4</f>
        <v>-812.5</v>
      </c>
      <c r="Z62" s="161">
        <f>-'T&amp;E Budget'!$I31/4</f>
        <v>-812.5</v>
      </c>
    </row>
    <row r="63" spans="1:26" ht="31" thickBot="1">
      <c r="A63" s="147" t="s">
        <v>252</v>
      </c>
      <c r="B63" s="34" t="s">
        <v>46</v>
      </c>
      <c r="C63" s="35"/>
      <c r="D63" s="143" t="s">
        <v>192</v>
      </c>
      <c r="E63" s="162">
        <f t="shared" ref="E63:Z63" si="9">SUM(E42:E62)</f>
        <v>-5105</v>
      </c>
      <c r="F63" s="162">
        <f t="shared" si="9"/>
        <v>-2205.75</v>
      </c>
      <c r="G63" s="162">
        <f t="shared" si="9"/>
        <v>-17221</v>
      </c>
      <c r="H63" s="162">
        <f t="shared" si="9"/>
        <v>-1843.25</v>
      </c>
      <c r="I63" s="162">
        <f t="shared" si="9"/>
        <v>-5267.5</v>
      </c>
      <c r="J63" s="162">
        <f t="shared" si="9"/>
        <v>-2057.5</v>
      </c>
      <c r="K63" s="162">
        <f t="shared" si="9"/>
        <v>-17829.13</v>
      </c>
      <c r="L63" s="162">
        <f t="shared" si="9"/>
        <v>-2707.5</v>
      </c>
      <c r="M63" s="162">
        <f t="shared" si="9"/>
        <v>-6578.25</v>
      </c>
      <c r="N63" s="162">
        <f t="shared" si="9"/>
        <v>-3307.5</v>
      </c>
      <c r="O63" s="162">
        <f t="shared" si="9"/>
        <v>-18909.25</v>
      </c>
      <c r="P63" s="162">
        <f t="shared" si="9"/>
        <v>-1630.55</v>
      </c>
      <c r="Q63" s="162">
        <f t="shared" si="9"/>
        <v>-4415.75</v>
      </c>
      <c r="R63" s="162">
        <f t="shared" si="9"/>
        <v>-2645</v>
      </c>
      <c r="S63" s="162">
        <f t="shared" si="9"/>
        <v>-17496.75</v>
      </c>
      <c r="T63" s="162">
        <f t="shared" si="9"/>
        <v>-3830</v>
      </c>
      <c r="U63" s="162">
        <f t="shared" si="9"/>
        <v>-1843.25</v>
      </c>
      <c r="V63" s="162">
        <f t="shared" si="9"/>
        <v>-5267.5</v>
      </c>
      <c r="W63" s="162">
        <f t="shared" si="9"/>
        <v>-2368.25</v>
      </c>
      <c r="X63" s="162">
        <f t="shared" si="9"/>
        <v>-17518.38</v>
      </c>
      <c r="Y63" s="162">
        <f t="shared" si="9"/>
        <v>-1843.25</v>
      </c>
      <c r="Z63" s="162">
        <f t="shared" si="9"/>
        <v>-5267.5</v>
      </c>
    </row>
    <row r="64" spans="1:26">
      <c r="B64" s="22"/>
      <c r="C64" s="88" t="s">
        <v>254</v>
      </c>
      <c r="E64" s="30"/>
      <c r="F64" s="30"/>
      <c r="G64" s="30"/>
      <c r="H64" s="30"/>
      <c r="I64" s="30"/>
      <c r="J64" s="30"/>
      <c r="K64" s="30"/>
      <c r="L64" s="30"/>
      <c r="M64" s="30"/>
      <c r="N64" s="30"/>
      <c r="O64" s="30"/>
      <c r="P64" s="30"/>
      <c r="Q64" s="30"/>
      <c r="R64" s="30"/>
      <c r="S64" s="30"/>
      <c r="T64" s="30"/>
      <c r="U64" s="30"/>
      <c r="V64" s="30"/>
      <c r="W64" s="30"/>
      <c r="X64" s="30"/>
      <c r="Y64" s="30"/>
      <c r="Z64" s="30"/>
    </row>
    <row r="65" spans="1:27" s="153" customFormat="1" ht="30" customHeight="1">
      <c r="A65" s="168" t="s">
        <v>252</v>
      </c>
      <c r="B65" s="151" t="s">
        <v>167</v>
      </c>
      <c r="C65" s="150" t="s">
        <v>64</v>
      </c>
      <c r="D65" s="92">
        <v>100000</v>
      </c>
      <c r="E65" s="152"/>
      <c r="F65" s="152"/>
      <c r="G65" s="152"/>
      <c r="H65" s="152"/>
      <c r="I65" s="152"/>
      <c r="J65" s="152"/>
      <c r="K65" s="152">
        <f>IF($C65="N",0, $D$65)</f>
        <v>0</v>
      </c>
      <c r="L65" s="152"/>
      <c r="M65" s="152"/>
      <c r="N65" s="152"/>
      <c r="O65" s="152"/>
      <c r="P65" s="152"/>
      <c r="Q65" s="152"/>
      <c r="R65" s="152"/>
      <c r="S65" s="152"/>
      <c r="T65" s="152"/>
      <c r="U65" s="152"/>
      <c r="V65" s="152"/>
      <c r="W65" s="152"/>
      <c r="X65" s="152"/>
      <c r="Y65" s="152"/>
      <c r="Z65" s="152"/>
    </row>
    <row r="66" spans="1:27">
      <c r="A66" s="168"/>
      <c r="B66" s="40" t="s">
        <v>168</v>
      </c>
      <c r="C66" s="71" t="s">
        <v>61</v>
      </c>
      <c r="D66" s="92">
        <v>250000</v>
      </c>
      <c r="E66" s="41"/>
      <c r="F66" s="41"/>
      <c r="G66" s="41"/>
      <c r="H66" s="41"/>
      <c r="I66" s="41"/>
      <c r="J66" s="41"/>
      <c r="K66" s="41"/>
      <c r="L66" s="41"/>
      <c r="M66" s="41"/>
      <c r="N66" s="41"/>
      <c r="O66" s="41"/>
      <c r="P66" s="41"/>
      <c r="Q66" s="41"/>
      <c r="R66" s="41"/>
      <c r="S66" s="41"/>
      <c r="T66" s="41"/>
      <c r="U66" s="41"/>
      <c r="V66" s="41">
        <f>IF($C66="N",0, $D$66)</f>
        <v>250000</v>
      </c>
      <c r="W66" s="41"/>
      <c r="X66" s="41"/>
      <c r="Y66" s="41"/>
      <c r="Z66" s="41"/>
      <c r="AA66" s="73"/>
    </row>
    <row r="67" spans="1:27">
      <c r="B67" s="22"/>
      <c r="C67" s="24"/>
      <c r="E67" s="30"/>
      <c r="F67" s="30"/>
      <c r="G67" s="30"/>
      <c r="H67" s="30"/>
      <c r="I67" s="30"/>
      <c r="J67" s="30"/>
      <c r="K67" s="30"/>
      <c r="L67" s="30"/>
      <c r="M67" s="30"/>
      <c r="N67" s="30"/>
      <c r="O67" s="30"/>
      <c r="P67" s="30"/>
      <c r="Q67" s="30"/>
      <c r="R67" s="30"/>
      <c r="S67" s="30"/>
      <c r="T67" s="30"/>
      <c r="U67" s="30"/>
      <c r="V67" s="30"/>
      <c r="W67" s="30"/>
      <c r="X67" s="30"/>
      <c r="Y67" s="30"/>
      <c r="Z67" s="30"/>
    </row>
    <row r="68" spans="1:27" s="158" customFormat="1" ht="30">
      <c r="A68" s="147" t="s">
        <v>252</v>
      </c>
      <c r="B68" s="154" t="s">
        <v>255</v>
      </c>
      <c r="C68" s="155"/>
      <c r="D68" s="156" t="s">
        <v>190</v>
      </c>
      <c r="E68" s="157"/>
      <c r="F68" s="157"/>
      <c r="G68" s="157"/>
      <c r="H68" s="157">
        <v>-1500</v>
      </c>
      <c r="I68" s="157"/>
      <c r="J68" s="157"/>
      <c r="K68" s="157"/>
      <c r="L68" s="157"/>
      <c r="M68" s="157"/>
      <c r="N68" s="157">
        <v>-1500</v>
      </c>
      <c r="O68" s="157"/>
      <c r="P68" s="157"/>
      <c r="Q68" s="157">
        <v>-1500</v>
      </c>
      <c r="R68" s="157"/>
      <c r="S68" s="157"/>
      <c r="T68" s="157"/>
      <c r="U68" s="157"/>
      <c r="V68" s="157"/>
      <c r="W68" s="157"/>
      <c r="X68" s="157"/>
      <c r="Y68" s="157"/>
      <c r="Z68" s="157"/>
    </row>
    <row r="69" spans="1:27">
      <c r="B69" s="42" t="s">
        <v>158</v>
      </c>
      <c r="C69" s="43" t="s">
        <v>169</v>
      </c>
      <c r="D69" s="143" t="s">
        <v>192</v>
      </c>
      <c r="E69" s="44">
        <f>C4</f>
        <v>14468.76</v>
      </c>
      <c r="F69" s="44">
        <f t="shared" ref="F69:Z69" si="10">E69+F68</f>
        <v>14468.76</v>
      </c>
      <c r="G69" s="44">
        <f t="shared" si="10"/>
        <v>14468.76</v>
      </c>
      <c r="H69" s="44">
        <f t="shared" si="10"/>
        <v>12968.76</v>
      </c>
      <c r="I69" s="44">
        <f t="shared" si="10"/>
        <v>12968.76</v>
      </c>
      <c r="J69" s="44">
        <f t="shared" si="10"/>
        <v>12968.76</v>
      </c>
      <c r="K69" s="44">
        <f t="shared" si="10"/>
        <v>12968.76</v>
      </c>
      <c r="L69" s="44">
        <f t="shared" si="10"/>
        <v>12968.76</v>
      </c>
      <c r="M69" s="44">
        <f t="shared" si="10"/>
        <v>12968.76</v>
      </c>
      <c r="N69" s="44">
        <f t="shared" si="10"/>
        <v>11468.76</v>
      </c>
      <c r="O69" s="44">
        <f t="shared" si="10"/>
        <v>11468.76</v>
      </c>
      <c r="P69" s="44">
        <f t="shared" si="10"/>
        <v>11468.76</v>
      </c>
      <c r="Q69" s="44">
        <f t="shared" si="10"/>
        <v>9968.76</v>
      </c>
      <c r="R69" s="44">
        <f t="shared" si="10"/>
        <v>9968.76</v>
      </c>
      <c r="S69" s="44">
        <f t="shared" si="10"/>
        <v>9968.76</v>
      </c>
      <c r="T69" s="44">
        <f t="shared" si="10"/>
        <v>9968.76</v>
      </c>
      <c r="U69" s="44">
        <f t="shared" si="10"/>
        <v>9968.76</v>
      </c>
      <c r="V69" s="44">
        <f t="shared" si="10"/>
        <v>9968.76</v>
      </c>
      <c r="W69" s="44">
        <f t="shared" si="10"/>
        <v>9968.76</v>
      </c>
      <c r="X69" s="44">
        <f t="shared" si="10"/>
        <v>9968.76</v>
      </c>
      <c r="Y69" s="44">
        <f t="shared" si="10"/>
        <v>9968.76</v>
      </c>
      <c r="Z69" s="44">
        <f t="shared" si="10"/>
        <v>9968.76</v>
      </c>
    </row>
    <row r="70" spans="1:27" ht="16" thickBot="1">
      <c r="B70" s="45"/>
      <c r="C70" s="46"/>
      <c r="E70" s="46"/>
      <c r="F70" s="46"/>
      <c r="G70" s="46"/>
      <c r="H70" s="46"/>
      <c r="I70" s="46"/>
      <c r="J70" s="46"/>
      <c r="K70" s="46"/>
      <c r="L70" s="46"/>
      <c r="M70" s="46"/>
      <c r="N70" s="46"/>
      <c r="O70" s="46"/>
      <c r="P70" s="46"/>
      <c r="Q70" s="46"/>
      <c r="R70" s="46"/>
      <c r="S70" s="46"/>
      <c r="T70" s="46"/>
      <c r="U70" s="46"/>
      <c r="V70" s="46"/>
      <c r="W70" s="46"/>
      <c r="X70" s="46"/>
      <c r="Y70" s="46"/>
      <c r="Z70" s="46"/>
    </row>
    <row r="71" spans="1:27" ht="16" thickBot="1">
      <c r="A71" s="146" t="s">
        <v>251</v>
      </c>
      <c r="B71" s="18" t="s">
        <v>138</v>
      </c>
      <c r="C71" s="20"/>
      <c r="D71" s="143" t="s">
        <v>192</v>
      </c>
      <c r="E71" s="47">
        <f ca="1">E6+E27+E32+E39+E63+E68+E66+E65</f>
        <v>119213.43999999999</v>
      </c>
      <c r="F71" s="47">
        <f t="shared" ref="F71:Z71" ca="1" si="11">F6+F27+F32+F39+F63+F68+F66+F65</f>
        <v>121007.68999999999</v>
      </c>
      <c r="G71" s="47">
        <f t="shared" ca="1" si="11"/>
        <v>109699.01999999999</v>
      </c>
      <c r="H71" s="47">
        <f t="shared" ca="1" si="11"/>
        <v>122605.76999999999</v>
      </c>
      <c r="I71" s="47">
        <f t="shared" ca="1" si="11"/>
        <v>76832.299999999988</v>
      </c>
      <c r="J71" s="47">
        <f t="shared" ca="1" si="11"/>
        <v>78774.799999999988</v>
      </c>
      <c r="K71" s="47">
        <f t="shared" ca="1" si="11"/>
        <v>23740.619999999984</v>
      </c>
      <c r="L71" s="47">
        <f t="shared" ca="1" si="11"/>
        <v>22033.119999999984</v>
      </c>
      <c r="M71" s="47">
        <f t="shared" ca="1" si="11"/>
        <v>59498.679999999978</v>
      </c>
      <c r="N71" s="47">
        <f t="shared" ca="1" si="11"/>
        <v>16551.59666666665</v>
      </c>
      <c r="O71" s="47">
        <f t="shared" ca="1" si="11"/>
        <v>30142.34666666665</v>
      </c>
      <c r="P71" s="47">
        <f t="shared" ca="1" si="11"/>
        <v>-12627.786666666678</v>
      </c>
      <c r="Q71" s="47">
        <f t="shared" ca="1" si="11"/>
        <v>-25143.536666666678</v>
      </c>
      <c r="R71" s="47">
        <f t="shared" ca="1" si="11"/>
        <v>-17576.036666666678</v>
      </c>
      <c r="S71" s="47">
        <f t="shared" ca="1" si="11"/>
        <v>-36585.45666666668</v>
      </c>
      <c r="T71" s="47">
        <f t="shared" ca="1" si="11"/>
        <v>-83202.95666666668</v>
      </c>
      <c r="U71" s="47">
        <f t="shared" ca="1" si="11"/>
        <v>-86546.20666666668</v>
      </c>
      <c r="V71" s="47">
        <f t="shared" ca="1" si="11"/>
        <v>114298.79333333333</v>
      </c>
      <c r="W71" s="47">
        <f t="shared" ca="1" si="11"/>
        <v>161930.54333333333</v>
      </c>
      <c r="X71" s="47">
        <f t="shared" ca="1" si="11"/>
        <v>145399.49333333332</v>
      </c>
      <c r="Y71" s="47">
        <f t="shared" ca="1" si="11"/>
        <v>100768.74333333332</v>
      </c>
      <c r="Z71" s="47">
        <f t="shared" ca="1" si="11"/>
        <v>95501.243333333317</v>
      </c>
    </row>
    <row r="72" spans="1:27">
      <c r="B72"/>
      <c r="C72"/>
      <c r="E72"/>
      <c r="F72"/>
      <c r="G72"/>
      <c r="H72"/>
      <c r="I72"/>
      <c r="J72"/>
      <c r="K72"/>
      <c r="L72"/>
      <c r="M72"/>
      <c r="N72"/>
      <c r="O72"/>
      <c r="P72"/>
      <c r="Q72"/>
      <c r="R72"/>
      <c r="S72"/>
      <c r="T72"/>
      <c r="U72"/>
      <c r="V72"/>
      <c r="W72"/>
      <c r="X72"/>
      <c r="Y72"/>
      <c r="Z72"/>
    </row>
    <row r="73" spans="1:27">
      <c r="B73"/>
      <c r="C73"/>
      <c r="E73"/>
      <c r="F73"/>
      <c r="G73"/>
      <c r="H73"/>
      <c r="I73"/>
      <c r="J73"/>
      <c r="K73"/>
      <c r="L73"/>
      <c r="M73"/>
      <c r="N73"/>
      <c r="O73"/>
      <c r="P73"/>
      <c r="Q73"/>
      <c r="R73"/>
      <c r="S73"/>
      <c r="T73"/>
      <c r="U73"/>
      <c r="V73"/>
      <c r="W73"/>
      <c r="X73"/>
      <c r="Y73"/>
      <c r="Z73"/>
    </row>
    <row r="74" spans="1:27">
      <c r="B74"/>
      <c r="C74"/>
      <c r="E74"/>
      <c r="F74"/>
      <c r="G74"/>
      <c r="H74"/>
      <c r="I74"/>
      <c r="J74"/>
      <c r="K74"/>
      <c r="L74"/>
      <c r="M74"/>
      <c r="N74"/>
      <c r="O74"/>
      <c r="P74"/>
      <c r="Q74"/>
      <c r="R74"/>
      <c r="S74"/>
      <c r="T74"/>
      <c r="U74"/>
      <c r="V74"/>
      <c r="W74"/>
      <c r="X74"/>
      <c r="Y74"/>
      <c r="Z74"/>
    </row>
    <row r="75" spans="1:27">
      <c r="B75"/>
      <c r="C75"/>
      <c r="E75"/>
      <c r="F75"/>
      <c r="G75"/>
      <c r="H75"/>
      <c r="I75"/>
      <c r="J75"/>
      <c r="K75"/>
      <c r="L75"/>
      <c r="M75"/>
      <c r="N75"/>
      <c r="O75"/>
      <c r="P75"/>
      <c r="Q75"/>
      <c r="R75"/>
      <c r="S75"/>
      <c r="T75"/>
      <c r="U75"/>
      <c r="V75"/>
      <c r="W75"/>
      <c r="X75"/>
      <c r="Y75"/>
      <c r="Z75"/>
    </row>
    <row r="76" spans="1:27" collapsed="1">
      <c r="B76"/>
      <c r="C76"/>
      <c r="E76"/>
      <c r="F76"/>
      <c r="G76"/>
      <c r="H76"/>
      <c r="I76"/>
      <c r="J76"/>
      <c r="K76"/>
      <c r="L76"/>
      <c r="M76"/>
      <c r="N76"/>
      <c r="O76"/>
      <c r="P76"/>
      <c r="Q76"/>
      <c r="R76"/>
      <c r="S76"/>
      <c r="T76"/>
      <c r="U76"/>
      <c r="V76"/>
      <c r="W76"/>
      <c r="X76"/>
      <c r="Y76"/>
      <c r="Z76"/>
    </row>
    <row r="77" spans="1:27">
      <c r="B77"/>
      <c r="C77"/>
      <c r="E77"/>
      <c r="F77"/>
      <c r="G77"/>
      <c r="H77"/>
      <c r="I77"/>
      <c r="J77"/>
      <c r="K77"/>
      <c r="L77"/>
      <c r="M77"/>
      <c r="N77"/>
      <c r="O77"/>
      <c r="P77"/>
      <c r="Q77"/>
      <c r="R77"/>
      <c r="S77"/>
      <c r="T77"/>
      <c r="U77"/>
      <c r="V77"/>
      <c r="W77"/>
      <c r="X77"/>
      <c r="Y77"/>
      <c r="Z77"/>
    </row>
    <row r="78" spans="1:27">
      <c r="B78"/>
      <c r="C78"/>
      <c r="E78"/>
      <c r="F78"/>
      <c r="G78"/>
      <c r="H78"/>
      <c r="I78"/>
      <c r="J78"/>
      <c r="K78"/>
      <c r="L78"/>
      <c r="M78"/>
      <c r="N78"/>
      <c r="O78"/>
      <c r="P78"/>
      <c r="Q78"/>
      <c r="R78"/>
      <c r="S78"/>
      <c r="T78"/>
      <c r="U78"/>
      <c r="V78"/>
      <c r="W78"/>
      <c r="X78"/>
      <c r="Y78"/>
      <c r="Z78"/>
    </row>
    <row r="79" spans="1:27">
      <c r="B79"/>
      <c r="C79"/>
      <c r="E79"/>
      <c r="F79"/>
      <c r="G79"/>
      <c r="H79"/>
      <c r="I79"/>
      <c r="J79"/>
      <c r="K79"/>
      <c r="L79"/>
      <c r="M79"/>
      <c r="N79"/>
      <c r="O79"/>
      <c r="P79"/>
      <c r="Q79"/>
      <c r="R79"/>
      <c r="S79"/>
      <c r="T79"/>
      <c r="U79"/>
      <c r="V79"/>
      <c r="W79"/>
      <c r="X79"/>
      <c r="Y79"/>
      <c r="Z79"/>
    </row>
    <row r="80" spans="1:27">
      <c r="B80"/>
      <c r="C80"/>
      <c r="E80"/>
      <c r="F80"/>
      <c r="G80"/>
      <c r="H80"/>
      <c r="I80"/>
      <c r="J80"/>
      <c r="K80"/>
      <c r="L80"/>
      <c r="M80"/>
      <c r="N80"/>
      <c r="O80"/>
      <c r="P80"/>
      <c r="Q80"/>
      <c r="R80"/>
      <c r="S80"/>
      <c r="T80"/>
      <c r="U80"/>
      <c r="V80"/>
      <c r="W80"/>
      <c r="X80"/>
      <c r="Y80"/>
      <c r="Z80"/>
    </row>
    <row r="81" spans="2:26" ht="14" customHeight="1">
      <c r="B81"/>
      <c r="C81"/>
      <c r="E81"/>
      <c r="F81"/>
      <c r="G81"/>
      <c r="H81"/>
      <c r="I81"/>
      <c r="J81"/>
      <c r="K81"/>
      <c r="L81"/>
      <c r="M81"/>
      <c r="N81"/>
      <c r="O81"/>
      <c r="P81"/>
      <c r="Q81"/>
      <c r="R81"/>
      <c r="S81"/>
      <c r="T81"/>
      <c r="U81"/>
      <c r="V81"/>
      <c r="W81"/>
      <c r="X81"/>
      <c r="Y81"/>
      <c r="Z81"/>
    </row>
    <row r="82" spans="2:26" ht="14" customHeight="1">
      <c r="B82"/>
      <c r="C82"/>
      <c r="E82"/>
      <c r="F82"/>
      <c r="G82"/>
      <c r="H82"/>
      <c r="I82"/>
      <c r="J82"/>
      <c r="K82"/>
      <c r="L82"/>
      <c r="M82"/>
      <c r="N82"/>
      <c r="O82"/>
      <c r="P82"/>
      <c r="Q82"/>
      <c r="R82"/>
      <c r="S82"/>
      <c r="T82"/>
      <c r="U82"/>
      <c r="V82"/>
      <c r="W82"/>
      <c r="X82"/>
      <c r="Y82"/>
      <c r="Z82"/>
    </row>
    <row r="83" spans="2:26">
      <c r="B83"/>
      <c r="C83"/>
      <c r="E83"/>
      <c r="F83"/>
      <c r="G83"/>
      <c r="H83"/>
      <c r="I83"/>
      <c r="J83"/>
      <c r="K83"/>
      <c r="L83"/>
      <c r="M83"/>
      <c r="N83"/>
      <c r="O83"/>
      <c r="P83"/>
      <c r="Q83"/>
      <c r="R83"/>
      <c r="S83"/>
      <c r="T83"/>
      <c r="U83"/>
      <c r="V83"/>
      <c r="W83"/>
      <c r="X83"/>
      <c r="Y83"/>
      <c r="Z83"/>
    </row>
    <row r="84" spans="2:26">
      <c r="B84"/>
      <c r="C84"/>
      <c r="E84"/>
      <c r="F84"/>
      <c r="G84"/>
      <c r="H84"/>
      <c r="I84"/>
      <c r="J84"/>
      <c r="K84"/>
      <c r="L84"/>
      <c r="M84"/>
      <c r="N84"/>
      <c r="O84"/>
      <c r="P84"/>
      <c r="Q84"/>
      <c r="R84"/>
      <c r="S84"/>
      <c r="T84"/>
      <c r="U84"/>
      <c r="V84"/>
      <c r="W84"/>
      <c r="X84"/>
      <c r="Y84"/>
      <c r="Z84"/>
    </row>
    <row r="85" spans="2:26">
      <c r="B85"/>
      <c r="C85"/>
      <c r="E85"/>
      <c r="F85"/>
      <c r="G85"/>
      <c r="H85"/>
      <c r="I85"/>
      <c r="J85"/>
      <c r="K85"/>
      <c r="L85"/>
      <c r="M85"/>
      <c r="N85"/>
      <c r="O85"/>
      <c r="P85"/>
      <c r="Q85"/>
      <c r="R85"/>
      <c r="S85"/>
      <c r="T85"/>
      <c r="U85"/>
      <c r="V85"/>
      <c r="W85"/>
      <c r="X85"/>
      <c r="Y85"/>
      <c r="Z85"/>
    </row>
    <row r="86" spans="2:26">
      <c r="B86"/>
      <c r="C86"/>
      <c r="E86"/>
      <c r="F86"/>
      <c r="G86"/>
      <c r="H86"/>
      <c r="I86"/>
      <c r="J86"/>
      <c r="K86"/>
      <c r="L86"/>
      <c r="M86"/>
      <c r="N86"/>
      <c r="O86"/>
      <c r="P86"/>
      <c r="Q86"/>
      <c r="R86"/>
      <c r="S86"/>
      <c r="T86"/>
      <c r="U86"/>
      <c r="V86"/>
      <c r="W86"/>
      <c r="X86"/>
      <c r="Y86"/>
      <c r="Z86"/>
    </row>
    <row r="87" spans="2:26" ht="26" customHeight="1">
      <c r="B87"/>
      <c r="C87"/>
      <c r="E87"/>
      <c r="F87"/>
      <c r="G87"/>
      <c r="H87"/>
      <c r="I87"/>
      <c r="J87"/>
      <c r="K87"/>
      <c r="L87"/>
      <c r="M87"/>
      <c r="N87"/>
      <c r="O87"/>
      <c r="P87"/>
      <c r="Q87"/>
      <c r="R87"/>
      <c r="S87"/>
      <c r="T87"/>
      <c r="U87"/>
      <c r="V87"/>
      <c r="W87"/>
      <c r="X87"/>
      <c r="Y87"/>
      <c r="Z87"/>
    </row>
    <row r="88" spans="2:26">
      <c r="B88"/>
      <c r="C88"/>
      <c r="E88"/>
      <c r="F88"/>
      <c r="G88"/>
      <c r="H88"/>
      <c r="I88"/>
      <c r="J88"/>
      <c r="K88"/>
      <c r="L88"/>
      <c r="M88"/>
      <c r="N88"/>
      <c r="O88"/>
      <c r="P88"/>
      <c r="Q88"/>
      <c r="R88"/>
      <c r="S88"/>
      <c r="T88"/>
      <c r="U88"/>
      <c r="V88"/>
      <c r="W88"/>
      <c r="X88"/>
      <c r="Y88"/>
      <c r="Z88"/>
    </row>
    <row r="89" spans="2:26">
      <c r="B89"/>
      <c r="C89"/>
      <c r="E89"/>
      <c r="F89"/>
      <c r="G89"/>
      <c r="H89"/>
      <c r="I89"/>
      <c r="J89"/>
      <c r="K89"/>
      <c r="L89"/>
      <c r="M89"/>
      <c r="N89"/>
      <c r="O89"/>
      <c r="P89"/>
      <c r="Q89"/>
      <c r="R89"/>
      <c r="S89"/>
      <c r="T89"/>
      <c r="U89"/>
      <c r="V89"/>
      <c r="W89"/>
      <c r="X89"/>
      <c r="Y89"/>
      <c r="Z89"/>
    </row>
    <row r="90" spans="2:26">
      <c r="B90"/>
      <c r="C90"/>
      <c r="E90"/>
      <c r="F90"/>
      <c r="G90"/>
      <c r="H90"/>
      <c r="I90"/>
      <c r="J90"/>
      <c r="K90"/>
      <c r="L90"/>
      <c r="M90"/>
      <c r="N90"/>
      <c r="O90"/>
      <c r="P90"/>
      <c r="Q90"/>
      <c r="R90"/>
      <c r="S90"/>
      <c r="T90"/>
      <c r="U90"/>
      <c r="V90"/>
      <c r="W90"/>
      <c r="X90"/>
      <c r="Y90"/>
      <c r="Z90"/>
    </row>
    <row r="91" spans="2:26">
      <c r="B91"/>
      <c r="C91"/>
      <c r="E91"/>
      <c r="F91"/>
      <c r="G91"/>
      <c r="H91"/>
      <c r="I91"/>
      <c r="J91"/>
      <c r="K91"/>
      <c r="L91"/>
      <c r="M91"/>
      <c r="N91"/>
      <c r="O91"/>
      <c r="P91"/>
      <c r="Q91"/>
      <c r="R91"/>
      <c r="S91"/>
      <c r="T91"/>
      <c r="U91"/>
      <c r="V91"/>
      <c r="W91"/>
      <c r="X91"/>
      <c r="Y91"/>
      <c r="Z91"/>
    </row>
    <row r="92" spans="2:26">
      <c r="B92"/>
      <c r="C92"/>
      <c r="E92"/>
      <c r="F92"/>
      <c r="G92"/>
      <c r="H92"/>
      <c r="I92"/>
      <c r="J92"/>
      <c r="K92"/>
      <c r="L92"/>
      <c r="M92"/>
      <c r="N92"/>
      <c r="O92"/>
      <c r="P92"/>
      <c r="Q92"/>
      <c r="R92"/>
      <c r="S92"/>
      <c r="T92"/>
      <c r="U92"/>
      <c r="V92"/>
      <c r="W92"/>
      <c r="X92"/>
      <c r="Y92"/>
      <c r="Z92"/>
    </row>
    <row r="93" spans="2:26">
      <c r="B93"/>
      <c r="C93"/>
      <c r="E93"/>
      <c r="F93"/>
      <c r="G93"/>
      <c r="H93"/>
      <c r="I93"/>
      <c r="J93"/>
      <c r="K93"/>
      <c r="L93"/>
      <c r="M93"/>
      <c r="N93"/>
      <c r="O93"/>
      <c r="P93"/>
      <c r="Q93"/>
      <c r="R93"/>
      <c r="S93"/>
      <c r="T93"/>
      <c r="U93"/>
      <c r="V93"/>
      <c r="W93"/>
      <c r="X93"/>
      <c r="Y93"/>
      <c r="Z93"/>
    </row>
    <row r="94" spans="2:26">
      <c r="B94"/>
      <c r="C94"/>
      <c r="E94"/>
      <c r="F94"/>
      <c r="G94"/>
      <c r="H94"/>
      <c r="I94"/>
      <c r="J94"/>
      <c r="K94"/>
      <c r="L94"/>
      <c r="M94"/>
      <c r="N94"/>
      <c r="O94"/>
      <c r="P94"/>
      <c r="Q94"/>
      <c r="R94"/>
      <c r="S94"/>
      <c r="T94"/>
      <c r="U94"/>
      <c r="V94"/>
      <c r="W94"/>
      <c r="X94"/>
      <c r="Y94"/>
      <c r="Z94"/>
    </row>
    <row r="95" spans="2:26">
      <c r="B95"/>
      <c r="C95"/>
      <c r="E95"/>
      <c r="F95"/>
      <c r="G95"/>
      <c r="H95"/>
      <c r="I95"/>
      <c r="J95"/>
      <c r="K95"/>
      <c r="L95"/>
      <c r="M95"/>
      <c r="N95"/>
      <c r="O95"/>
      <c r="P95"/>
      <c r="Q95"/>
      <c r="R95"/>
      <c r="S95"/>
      <c r="T95"/>
      <c r="U95"/>
      <c r="V95"/>
      <c r="W95"/>
      <c r="X95"/>
      <c r="Y95"/>
      <c r="Z95"/>
    </row>
    <row r="96" spans="2:26">
      <c r="B96"/>
      <c r="C96"/>
      <c r="E96"/>
      <c r="F96"/>
      <c r="G96"/>
      <c r="H96"/>
      <c r="I96"/>
      <c r="J96"/>
      <c r="K96"/>
      <c r="L96"/>
      <c r="M96"/>
      <c r="N96"/>
      <c r="O96"/>
      <c r="P96"/>
      <c r="Q96"/>
      <c r="R96"/>
      <c r="S96"/>
      <c r="T96"/>
      <c r="U96"/>
      <c r="V96"/>
      <c r="W96"/>
      <c r="X96"/>
      <c r="Y96"/>
      <c r="Z96"/>
    </row>
    <row r="97" spans="2:26">
      <c r="B97"/>
      <c r="C97"/>
      <c r="E97"/>
      <c r="F97"/>
      <c r="G97"/>
      <c r="H97"/>
      <c r="I97"/>
      <c r="J97"/>
      <c r="K97"/>
      <c r="L97"/>
      <c r="M97"/>
      <c r="N97"/>
      <c r="O97"/>
      <c r="P97"/>
      <c r="Q97"/>
      <c r="R97"/>
      <c r="S97"/>
      <c r="T97"/>
      <c r="U97"/>
      <c r="V97"/>
      <c r="W97"/>
      <c r="X97"/>
      <c r="Y97"/>
      <c r="Z97"/>
    </row>
    <row r="98" spans="2:26">
      <c r="B98"/>
      <c r="C98"/>
      <c r="E98"/>
      <c r="F98"/>
      <c r="G98"/>
      <c r="H98"/>
      <c r="I98"/>
      <c r="J98"/>
      <c r="K98"/>
      <c r="L98"/>
      <c r="M98"/>
      <c r="N98"/>
      <c r="O98"/>
      <c r="P98"/>
      <c r="Q98"/>
      <c r="R98"/>
      <c r="S98"/>
      <c r="T98"/>
      <c r="U98"/>
      <c r="V98"/>
      <c r="W98"/>
      <c r="X98"/>
      <c r="Y98"/>
      <c r="Z98"/>
    </row>
    <row r="99" spans="2:26">
      <c r="B99"/>
      <c r="C99"/>
      <c r="E99"/>
      <c r="F99"/>
      <c r="G99"/>
      <c r="H99"/>
      <c r="I99"/>
      <c r="J99"/>
      <c r="K99"/>
      <c r="L99"/>
      <c r="M99"/>
      <c r="N99"/>
      <c r="O99"/>
      <c r="P99"/>
      <c r="Q99"/>
      <c r="R99"/>
      <c r="S99"/>
      <c r="T99"/>
      <c r="U99"/>
      <c r="V99"/>
      <c r="W99"/>
      <c r="X99"/>
      <c r="Y99"/>
      <c r="Z99"/>
    </row>
    <row r="100" spans="2:26">
      <c r="B100"/>
      <c r="C100"/>
      <c r="E100"/>
      <c r="F100"/>
      <c r="G100"/>
      <c r="H100"/>
      <c r="I100"/>
      <c r="J100"/>
      <c r="K100"/>
      <c r="L100"/>
      <c r="M100"/>
      <c r="N100"/>
      <c r="O100"/>
      <c r="P100"/>
      <c r="Q100"/>
      <c r="R100"/>
      <c r="S100"/>
      <c r="T100"/>
      <c r="U100"/>
      <c r="V100"/>
      <c r="W100"/>
      <c r="X100"/>
      <c r="Y100"/>
      <c r="Z100"/>
    </row>
    <row r="101" spans="2:26">
      <c r="B101"/>
      <c r="C101"/>
      <c r="E101"/>
      <c r="F101"/>
      <c r="G101"/>
      <c r="H101"/>
      <c r="I101"/>
      <c r="J101"/>
      <c r="K101"/>
      <c r="L101"/>
      <c r="M101"/>
      <c r="N101"/>
      <c r="O101"/>
      <c r="P101"/>
      <c r="Q101"/>
      <c r="R101"/>
      <c r="S101"/>
      <c r="T101"/>
      <c r="U101"/>
      <c r="V101"/>
      <c r="W101"/>
      <c r="X101"/>
      <c r="Y101"/>
      <c r="Z101"/>
    </row>
    <row r="102" spans="2:26">
      <c r="B102"/>
      <c r="C102"/>
      <c r="E102"/>
      <c r="F102"/>
      <c r="G102"/>
      <c r="H102"/>
      <c r="I102"/>
      <c r="J102"/>
      <c r="K102"/>
      <c r="L102"/>
      <c r="M102"/>
      <c r="N102"/>
      <c r="O102"/>
      <c r="P102"/>
      <c r="Q102"/>
      <c r="R102"/>
      <c r="S102"/>
      <c r="T102"/>
      <c r="U102"/>
      <c r="V102"/>
      <c r="W102"/>
      <c r="X102"/>
      <c r="Y102"/>
      <c r="Z102"/>
    </row>
    <row r="103" spans="2:26">
      <c r="B103"/>
      <c r="C103"/>
      <c r="E103"/>
      <c r="F103"/>
      <c r="G103"/>
      <c r="H103"/>
      <c r="I103"/>
      <c r="J103"/>
      <c r="K103"/>
      <c r="L103"/>
      <c r="M103"/>
      <c r="N103"/>
      <c r="O103"/>
      <c r="P103"/>
      <c r="Q103"/>
      <c r="R103"/>
      <c r="S103"/>
      <c r="T103"/>
      <c r="U103"/>
      <c r="V103"/>
      <c r="W103"/>
      <c r="X103"/>
      <c r="Y103"/>
      <c r="Z103"/>
    </row>
    <row r="104" spans="2:26">
      <c r="B104"/>
      <c r="C104"/>
      <c r="E104"/>
      <c r="F104"/>
      <c r="G104"/>
      <c r="H104"/>
      <c r="I104"/>
      <c r="J104"/>
      <c r="K104"/>
      <c r="L104"/>
      <c r="M104"/>
      <c r="N104"/>
      <c r="O104"/>
      <c r="P104"/>
      <c r="Q104"/>
      <c r="R104"/>
      <c r="S104"/>
      <c r="T104"/>
      <c r="U104"/>
      <c r="V104"/>
      <c r="W104"/>
      <c r="X104"/>
      <c r="Y104"/>
      <c r="Z104"/>
    </row>
    <row r="105" spans="2:26">
      <c r="B105"/>
      <c r="C105"/>
      <c r="E105"/>
      <c r="F105"/>
      <c r="G105"/>
      <c r="H105"/>
      <c r="I105"/>
      <c r="J105"/>
      <c r="K105"/>
      <c r="L105"/>
      <c r="M105"/>
      <c r="N105"/>
      <c r="O105"/>
      <c r="P105"/>
      <c r="Q105"/>
      <c r="R105"/>
      <c r="S105"/>
      <c r="T105"/>
      <c r="U105"/>
      <c r="V105"/>
      <c r="W105"/>
      <c r="X105"/>
      <c r="Y105"/>
      <c r="Z105"/>
    </row>
    <row r="106" spans="2:26">
      <c r="B106"/>
      <c r="C106"/>
      <c r="E106"/>
      <c r="F106"/>
      <c r="G106"/>
      <c r="H106"/>
      <c r="I106"/>
      <c r="J106"/>
      <c r="K106"/>
      <c r="L106"/>
      <c r="M106"/>
      <c r="N106"/>
      <c r="O106"/>
      <c r="P106"/>
      <c r="Q106"/>
      <c r="R106"/>
      <c r="S106"/>
      <c r="T106"/>
      <c r="U106"/>
      <c r="V106"/>
      <c r="W106"/>
      <c r="X106"/>
      <c r="Y106"/>
      <c r="Z106"/>
    </row>
    <row r="107" spans="2:26">
      <c r="B107"/>
      <c r="C107"/>
      <c r="E107"/>
      <c r="F107"/>
      <c r="G107"/>
      <c r="H107"/>
      <c r="I107"/>
      <c r="J107"/>
      <c r="K107"/>
      <c r="L107"/>
      <c r="M107"/>
      <c r="N107"/>
      <c r="O107"/>
      <c r="P107"/>
      <c r="Q107"/>
      <c r="R107"/>
      <c r="S107"/>
      <c r="T107"/>
      <c r="U107"/>
      <c r="V107"/>
      <c r="W107"/>
      <c r="X107"/>
      <c r="Y107"/>
      <c r="Z107"/>
    </row>
    <row r="108" spans="2:26">
      <c r="B108"/>
      <c r="C108"/>
      <c r="E108"/>
      <c r="F108"/>
      <c r="G108"/>
      <c r="H108"/>
      <c r="I108"/>
      <c r="J108"/>
      <c r="K108"/>
      <c r="L108"/>
      <c r="M108"/>
      <c r="N108"/>
      <c r="O108"/>
      <c r="P108"/>
      <c r="Q108"/>
      <c r="R108"/>
      <c r="S108"/>
      <c r="T108"/>
      <c r="U108"/>
      <c r="V108"/>
      <c r="W108"/>
      <c r="X108"/>
      <c r="Y108"/>
      <c r="Z108"/>
    </row>
    <row r="109" spans="2:26">
      <c r="B109"/>
      <c r="C109"/>
      <c r="E109"/>
      <c r="F109"/>
      <c r="G109"/>
      <c r="H109"/>
      <c r="I109"/>
      <c r="J109"/>
      <c r="K109"/>
      <c r="L109"/>
      <c r="M109"/>
      <c r="N109"/>
      <c r="O109"/>
      <c r="P109"/>
      <c r="Q109"/>
      <c r="R109"/>
      <c r="S109"/>
      <c r="T109"/>
      <c r="U109"/>
      <c r="V109"/>
      <c r="W109"/>
      <c r="X109"/>
      <c r="Y109"/>
      <c r="Z109"/>
    </row>
    <row r="110" spans="2:26">
      <c r="B110"/>
      <c r="C110"/>
      <c r="E110"/>
      <c r="F110"/>
      <c r="G110"/>
      <c r="H110"/>
      <c r="I110"/>
      <c r="J110"/>
      <c r="K110"/>
      <c r="L110"/>
      <c r="M110"/>
      <c r="N110"/>
      <c r="O110"/>
      <c r="P110"/>
      <c r="Q110"/>
      <c r="R110"/>
      <c r="S110"/>
      <c r="T110"/>
      <c r="U110"/>
      <c r="V110"/>
      <c r="W110"/>
      <c r="X110"/>
      <c r="Y110"/>
      <c r="Z110"/>
    </row>
    <row r="111" spans="2:26">
      <c r="B111"/>
      <c r="C111"/>
      <c r="E111"/>
      <c r="F111"/>
      <c r="G111"/>
      <c r="H111"/>
      <c r="I111"/>
      <c r="J111"/>
      <c r="K111"/>
      <c r="L111"/>
      <c r="M111"/>
      <c r="N111"/>
      <c r="O111"/>
      <c r="P111"/>
      <c r="Q111"/>
      <c r="R111"/>
      <c r="S111"/>
      <c r="T111"/>
      <c r="U111"/>
      <c r="V111"/>
      <c r="W111"/>
      <c r="X111"/>
      <c r="Y111"/>
      <c r="Z111"/>
    </row>
    <row r="112" spans="2:26">
      <c r="B112"/>
      <c r="C112"/>
      <c r="E112"/>
      <c r="F112"/>
      <c r="G112"/>
      <c r="H112"/>
      <c r="I112"/>
      <c r="J112"/>
      <c r="K112"/>
      <c r="L112"/>
      <c r="M112"/>
      <c r="N112"/>
      <c r="O112"/>
      <c r="P112"/>
      <c r="Q112"/>
      <c r="R112"/>
      <c r="S112"/>
      <c r="T112"/>
      <c r="U112"/>
      <c r="V112"/>
      <c r="W112"/>
      <c r="X112"/>
      <c r="Y112"/>
      <c r="Z112"/>
    </row>
    <row r="113" spans="2:26">
      <c r="B113"/>
      <c r="C113"/>
      <c r="E113"/>
      <c r="F113"/>
      <c r="G113"/>
      <c r="H113"/>
      <c r="I113"/>
      <c r="J113"/>
      <c r="K113"/>
      <c r="L113"/>
      <c r="M113"/>
      <c r="N113"/>
      <c r="O113"/>
      <c r="P113"/>
      <c r="Q113"/>
      <c r="R113"/>
      <c r="S113"/>
      <c r="T113"/>
      <c r="U113"/>
      <c r="V113"/>
      <c r="W113"/>
      <c r="X113"/>
      <c r="Y113"/>
      <c r="Z113"/>
    </row>
    <row r="114" spans="2:26">
      <c r="B114"/>
      <c r="C114"/>
      <c r="E114"/>
      <c r="F114"/>
      <c r="G114"/>
      <c r="H114"/>
      <c r="I114"/>
      <c r="J114"/>
      <c r="K114"/>
      <c r="L114"/>
      <c r="M114"/>
      <c r="N114"/>
      <c r="O114"/>
      <c r="P114"/>
      <c r="Q114"/>
      <c r="R114"/>
      <c r="S114"/>
      <c r="T114"/>
      <c r="U114"/>
      <c r="V114"/>
      <c r="W114"/>
      <c r="X114"/>
      <c r="Y114"/>
      <c r="Z114"/>
    </row>
    <row r="115" spans="2:26">
      <c r="B115"/>
      <c r="C115"/>
      <c r="E115"/>
      <c r="F115"/>
      <c r="G115"/>
      <c r="H115"/>
      <c r="I115"/>
      <c r="J115"/>
      <c r="K115"/>
      <c r="L115"/>
      <c r="M115"/>
      <c r="N115"/>
      <c r="O115"/>
      <c r="P115"/>
      <c r="Q115"/>
      <c r="R115"/>
      <c r="S115"/>
      <c r="T115"/>
      <c r="U115"/>
      <c r="V115"/>
      <c r="W115"/>
      <c r="X115"/>
      <c r="Y115"/>
      <c r="Z115"/>
    </row>
    <row r="116" spans="2:26">
      <c r="B116"/>
      <c r="C116"/>
      <c r="E116"/>
      <c r="F116"/>
      <c r="G116"/>
      <c r="H116"/>
      <c r="I116"/>
      <c r="J116"/>
      <c r="K116"/>
      <c r="L116"/>
      <c r="M116"/>
      <c r="N116"/>
      <c r="O116"/>
      <c r="P116"/>
      <c r="Q116"/>
      <c r="R116"/>
      <c r="S116"/>
      <c r="T116"/>
      <c r="U116"/>
      <c r="V116"/>
      <c r="W116"/>
      <c r="X116"/>
      <c r="Y116"/>
      <c r="Z116"/>
    </row>
    <row r="117" spans="2:26">
      <c r="B117"/>
      <c r="C117"/>
      <c r="E117"/>
      <c r="F117"/>
      <c r="G117"/>
      <c r="H117"/>
      <c r="I117"/>
      <c r="J117"/>
      <c r="K117"/>
      <c r="L117"/>
      <c r="M117"/>
      <c r="N117"/>
      <c r="O117"/>
      <c r="P117"/>
      <c r="Q117"/>
      <c r="R117"/>
      <c r="S117"/>
      <c r="T117"/>
      <c r="U117"/>
      <c r="V117"/>
      <c r="W117"/>
      <c r="X117"/>
      <c r="Y117"/>
      <c r="Z117"/>
    </row>
    <row r="118" spans="2:26">
      <c r="B118"/>
      <c r="C118"/>
      <c r="E118"/>
      <c r="F118"/>
      <c r="G118"/>
      <c r="H118"/>
      <c r="I118"/>
      <c r="J118"/>
      <c r="K118"/>
      <c r="L118"/>
      <c r="M118"/>
      <c r="N118"/>
      <c r="O118"/>
      <c r="P118"/>
      <c r="Q118"/>
      <c r="R118"/>
      <c r="S118"/>
      <c r="T118"/>
      <c r="U118"/>
      <c r="V118"/>
      <c r="W118"/>
      <c r="X118"/>
      <c r="Y118"/>
      <c r="Z118"/>
    </row>
    <row r="119" spans="2:26">
      <c r="B119"/>
      <c r="C119"/>
      <c r="E119"/>
      <c r="F119"/>
      <c r="G119"/>
      <c r="H119"/>
      <c r="I119"/>
      <c r="J119"/>
      <c r="K119"/>
      <c r="L119"/>
      <c r="M119"/>
      <c r="N119"/>
      <c r="O119"/>
      <c r="P119"/>
      <c r="Q119"/>
      <c r="R119"/>
      <c r="S119"/>
      <c r="T119"/>
      <c r="U119"/>
      <c r="V119"/>
      <c r="W119"/>
      <c r="X119"/>
      <c r="Y119"/>
      <c r="Z119"/>
    </row>
    <row r="120" spans="2:26">
      <c r="B120"/>
      <c r="C120"/>
      <c r="E120"/>
      <c r="F120"/>
      <c r="G120"/>
      <c r="H120"/>
      <c r="I120"/>
      <c r="J120"/>
      <c r="K120"/>
      <c r="L120"/>
      <c r="M120"/>
      <c r="N120"/>
      <c r="O120"/>
      <c r="P120"/>
      <c r="Q120"/>
      <c r="R120"/>
      <c r="S120"/>
      <c r="T120"/>
      <c r="U120"/>
      <c r="V120"/>
      <c r="W120"/>
      <c r="X120"/>
      <c r="Y120"/>
      <c r="Z120"/>
    </row>
    <row r="121" spans="2:26">
      <c r="B121"/>
      <c r="C121"/>
      <c r="E121"/>
      <c r="F121"/>
      <c r="G121"/>
      <c r="H121"/>
      <c r="I121"/>
      <c r="J121"/>
      <c r="K121"/>
      <c r="L121"/>
      <c r="M121"/>
      <c r="N121"/>
      <c r="O121"/>
      <c r="P121"/>
      <c r="Q121"/>
      <c r="R121"/>
      <c r="S121"/>
      <c r="T121"/>
      <c r="U121"/>
      <c r="V121"/>
      <c r="W121"/>
      <c r="X121"/>
      <c r="Y121"/>
      <c r="Z121"/>
    </row>
    <row r="122" spans="2:26">
      <c r="B122"/>
      <c r="C122"/>
      <c r="E122"/>
      <c r="F122"/>
      <c r="G122"/>
      <c r="H122"/>
      <c r="I122"/>
      <c r="J122"/>
      <c r="K122"/>
      <c r="L122"/>
      <c r="M122"/>
      <c r="N122"/>
      <c r="O122"/>
      <c r="P122"/>
      <c r="Q122"/>
      <c r="R122"/>
      <c r="S122"/>
      <c r="T122"/>
      <c r="U122"/>
      <c r="V122"/>
      <c r="W122"/>
      <c r="X122"/>
      <c r="Y122"/>
      <c r="Z122"/>
    </row>
    <row r="123" spans="2:26">
      <c r="B123"/>
      <c r="C123"/>
      <c r="E123"/>
      <c r="F123"/>
      <c r="G123"/>
      <c r="H123"/>
      <c r="I123"/>
      <c r="J123"/>
      <c r="K123"/>
      <c r="L123"/>
      <c r="M123"/>
      <c r="N123"/>
      <c r="O123"/>
      <c r="P123"/>
      <c r="Q123"/>
      <c r="R123"/>
      <c r="S123"/>
      <c r="T123"/>
      <c r="U123"/>
      <c r="V123"/>
      <c r="W123"/>
      <c r="X123"/>
      <c r="Y123"/>
      <c r="Z123"/>
    </row>
    <row r="124" spans="2:26">
      <c r="B124"/>
      <c r="C124"/>
      <c r="E124"/>
      <c r="F124"/>
      <c r="G124"/>
      <c r="H124"/>
      <c r="I124"/>
      <c r="J124"/>
      <c r="K124"/>
      <c r="L124"/>
      <c r="M124"/>
      <c r="N124"/>
      <c r="O124"/>
      <c r="P124"/>
      <c r="Q124"/>
      <c r="R124"/>
      <c r="S124"/>
      <c r="T124"/>
      <c r="U124"/>
      <c r="V124"/>
      <c r="W124"/>
      <c r="X124"/>
      <c r="Y124"/>
      <c r="Z124"/>
    </row>
    <row r="125" spans="2:26">
      <c r="B125"/>
      <c r="C125"/>
      <c r="E125"/>
      <c r="F125"/>
      <c r="G125"/>
      <c r="H125"/>
      <c r="I125"/>
      <c r="J125"/>
      <c r="K125"/>
      <c r="L125"/>
      <c r="M125"/>
      <c r="N125"/>
      <c r="O125"/>
      <c r="P125"/>
      <c r="Q125"/>
      <c r="R125"/>
      <c r="S125"/>
      <c r="T125"/>
      <c r="U125"/>
      <c r="V125"/>
      <c r="W125"/>
      <c r="X125"/>
      <c r="Y125"/>
      <c r="Z125"/>
    </row>
    <row r="126" spans="2:26">
      <c r="B126"/>
      <c r="C126"/>
      <c r="E126"/>
      <c r="F126"/>
      <c r="G126"/>
      <c r="H126"/>
      <c r="I126"/>
      <c r="J126"/>
      <c r="K126"/>
      <c r="L126"/>
      <c r="M126"/>
      <c r="N126"/>
      <c r="O126"/>
      <c r="P126"/>
      <c r="Q126"/>
      <c r="R126"/>
      <c r="S126"/>
      <c r="T126"/>
      <c r="U126"/>
      <c r="V126"/>
      <c r="W126"/>
      <c r="X126"/>
      <c r="Y126"/>
      <c r="Z126"/>
    </row>
    <row r="127" spans="2:26">
      <c r="B127"/>
      <c r="C127"/>
      <c r="E127"/>
      <c r="F127"/>
      <c r="G127"/>
      <c r="H127"/>
      <c r="I127"/>
      <c r="J127"/>
      <c r="K127"/>
      <c r="L127"/>
      <c r="M127"/>
      <c r="N127"/>
      <c r="O127"/>
      <c r="P127"/>
      <c r="Q127"/>
      <c r="R127"/>
      <c r="S127"/>
      <c r="T127"/>
      <c r="U127"/>
      <c r="V127"/>
      <c r="W127"/>
      <c r="X127"/>
      <c r="Y127"/>
      <c r="Z127"/>
    </row>
    <row r="128" spans="2:26">
      <c r="B128"/>
      <c r="C128"/>
      <c r="E128"/>
      <c r="F128"/>
      <c r="G128"/>
      <c r="H128"/>
      <c r="I128"/>
      <c r="J128"/>
      <c r="K128"/>
      <c r="L128"/>
      <c r="M128"/>
      <c r="N128"/>
      <c r="O128"/>
      <c r="P128"/>
      <c r="Q128"/>
      <c r="R128"/>
      <c r="S128"/>
      <c r="T128"/>
      <c r="U128"/>
      <c r="V128"/>
      <c r="W128"/>
      <c r="X128"/>
      <c r="Y128"/>
      <c r="Z128"/>
    </row>
    <row r="129" spans="2:26">
      <c r="B129"/>
      <c r="C129"/>
      <c r="E129"/>
      <c r="F129"/>
      <c r="G129"/>
      <c r="H129"/>
      <c r="I129"/>
      <c r="J129"/>
      <c r="K129"/>
      <c r="L129"/>
      <c r="M129"/>
      <c r="N129"/>
      <c r="O129"/>
      <c r="P129"/>
      <c r="Q129"/>
      <c r="R129"/>
      <c r="S129"/>
      <c r="T129"/>
      <c r="U129"/>
      <c r="V129"/>
      <c r="W129"/>
      <c r="X129"/>
      <c r="Y129"/>
      <c r="Z129"/>
    </row>
    <row r="130" spans="2:26" collapsed="1">
      <c r="B130"/>
      <c r="C130"/>
      <c r="E130"/>
      <c r="F130"/>
      <c r="G130"/>
      <c r="H130"/>
      <c r="I130"/>
      <c r="J130"/>
      <c r="K130"/>
      <c r="L130"/>
      <c r="M130"/>
      <c r="N130"/>
      <c r="O130"/>
      <c r="P130"/>
      <c r="Q130"/>
      <c r="R130"/>
      <c r="S130"/>
      <c r="T130"/>
      <c r="U130"/>
      <c r="V130"/>
      <c r="W130"/>
      <c r="X130"/>
      <c r="Y130"/>
      <c r="Z130"/>
    </row>
  </sheetData>
  <mergeCells count="6">
    <mergeCell ref="A1:A4"/>
    <mergeCell ref="A65:A66"/>
    <mergeCell ref="C42:C53"/>
    <mergeCell ref="C54:C61"/>
    <mergeCell ref="D3:H3"/>
    <mergeCell ref="D4:H4"/>
  </mergeCells>
  <phoneticPr fontId="19" type="noConversion"/>
  <conditionalFormatting sqref="E71:Z71">
    <cfRule type="cellIs" dxfId="40" priority="73" operator="greaterThan">
      <formula>1000</formula>
    </cfRule>
    <cfRule type="cellIs" dxfId="39" priority="74" operator="between">
      <formula>0</formula>
      <formula>1000</formula>
    </cfRule>
    <cfRule type="cellIs" dxfId="38" priority="75" operator="lessThan">
      <formula>0</formula>
    </cfRule>
  </conditionalFormatting>
  <conditionalFormatting sqref="E65:Z65">
    <cfRule type="cellIs" dxfId="37" priority="72" operator="greaterThan">
      <formula>0</formula>
    </cfRule>
  </conditionalFormatting>
  <conditionalFormatting sqref="C18:C25">
    <cfRule type="cellIs" dxfId="36" priority="54" operator="equal">
      <formula>"Y"</formula>
    </cfRule>
    <cfRule type="cellIs" dxfId="35" priority="55" operator="equal">
      <formula>"N"</formula>
    </cfRule>
  </conditionalFormatting>
  <conditionalFormatting sqref="B65">
    <cfRule type="cellIs" dxfId="34" priority="53" operator="greaterThan">
      <formula>0</formula>
    </cfRule>
  </conditionalFormatting>
  <conditionalFormatting sqref="G66:S66 U66 W66:Y66">
    <cfRule type="cellIs" dxfId="33" priority="50" operator="greaterThan">
      <formula>0</formula>
    </cfRule>
  </conditionalFormatting>
  <conditionalFormatting sqref="F66">
    <cfRule type="cellIs" dxfId="32" priority="46" operator="greaterThan">
      <formula>0</formula>
    </cfRule>
  </conditionalFormatting>
  <conditionalFormatting sqref="E6:Z6">
    <cfRule type="cellIs" dxfId="31" priority="43" operator="greaterThan">
      <formula>0</formula>
    </cfRule>
    <cfRule type="cellIs" dxfId="30" priority="44" operator="lessThanOrEqual">
      <formula>0</formula>
    </cfRule>
  </conditionalFormatting>
  <conditionalFormatting sqref="E66">
    <cfRule type="cellIs" dxfId="29" priority="41" operator="greaterThan">
      <formula>0</formula>
    </cfRule>
  </conditionalFormatting>
  <conditionalFormatting sqref="C21:C23">
    <cfRule type="cellIs" dxfId="28" priority="35" operator="equal">
      <formula>"Y"</formula>
    </cfRule>
    <cfRule type="cellIs" dxfId="27" priority="36" operator="equal">
      <formula>"N"</formula>
    </cfRule>
  </conditionalFormatting>
  <conditionalFormatting sqref="C17">
    <cfRule type="cellIs" dxfId="26" priority="27" operator="equal">
      <formula>"Y"</formula>
    </cfRule>
    <cfRule type="cellIs" dxfId="25" priority="28" operator="equal">
      <formula>"N"</formula>
    </cfRule>
  </conditionalFormatting>
  <conditionalFormatting sqref="C16">
    <cfRule type="cellIs" dxfId="24" priority="25" operator="equal">
      <formula>"Y"</formula>
    </cfRule>
    <cfRule type="cellIs" dxfId="23" priority="26" operator="equal">
      <formula>"N"</formula>
    </cfRule>
  </conditionalFormatting>
  <conditionalFormatting sqref="B66">
    <cfRule type="cellIs" dxfId="22" priority="18" operator="greaterThan">
      <formula>0</formula>
    </cfRule>
  </conditionalFormatting>
  <conditionalFormatting sqref="C65:C66">
    <cfRule type="cellIs" dxfId="21" priority="15" operator="equal">
      <formula>"Y"</formula>
    </cfRule>
    <cfRule type="cellIs" dxfId="20" priority="16" operator="equal">
      <formula>"N"</formula>
    </cfRule>
  </conditionalFormatting>
  <conditionalFormatting sqref="E16:W16">
    <cfRule type="cellIs" dxfId="19" priority="14" operator="greaterThan">
      <formula>0</formula>
    </cfRule>
  </conditionalFormatting>
  <conditionalFormatting sqref="Q16">
    <cfRule type="cellIs" dxfId="18" priority="10" operator="greaterThan">
      <formula>0</formula>
    </cfRule>
  </conditionalFormatting>
  <conditionalFormatting sqref="Q17">
    <cfRule type="cellIs" dxfId="17" priority="12" operator="greaterThan">
      <formula>0</formula>
    </cfRule>
  </conditionalFormatting>
  <conditionalFormatting sqref="W17">
    <cfRule type="cellIs" dxfId="16" priority="11" operator="greaterThan">
      <formula>0</formula>
    </cfRule>
  </conditionalFormatting>
  <conditionalFormatting sqref="W16">
    <cfRule type="cellIs" dxfId="15" priority="9" operator="greaterThan">
      <formula>0</formula>
    </cfRule>
  </conditionalFormatting>
  <conditionalFormatting sqref="E17:Z17">
    <cfRule type="cellIs" dxfId="14" priority="8" operator="greaterThan">
      <formula>0</formula>
    </cfRule>
  </conditionalFormatting>
  <conditionalFormatting sqref="X16:Z16">
    <cfRule type="cellIs" dxfId="13" priority="7" operator="greaterThan">
      <formula>0</formula>
    </cfRule>
  </conditionalFormatting>
  <conditionalFormatting sqref="Z66">
    <cfRule type="cellIs" dxfId="12" priority="5" operator="greaterThan">
      <formula>0</formula>
    </cfRule>
  </conditionalFormatting>
  <conditionalFormatting sqref="T66">
    <cfRule type="cellIs" dxfId="11" priority="4" operator="greaterThan">
      <formula>0</formula>
    </cfRule>
  </conditionalFormatting>
  <conditionalFormatting sqref="V66">
    <cfRule type="cellIs" dxfId="10" priority="3" operator="greaterThan">
      <formula>0</formula>
    </cfRule>
  </conditionalFormatting>
  <conditionalFormatting sqref="C11:C14">
    <cfRule type="cellIs" dxfId="9" priority="1" operator="equal">
      <formula>"Y"</formula>
    </cfRule>
    <cfRule type="cellIs" dxfId="8" priority="2" operator="equal">
      <formula>"N"</formula>
    </cfRule>
  </conditionalFormatting>
  <pageMargins left="0.7" right="0.7" top="0.75" bottom="0.75" header="0.3" footer="0.3"/>
  <pageSetup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X87"/>
  <sheetViews>
    <sheetView topLeftCell="A26" zoomScale="125" zoomScaleNormal="125" zoomScalePageLayoutView="125" workbookViewId="0">
      <selection activeCell="B25" sqref="B25"/>
    </sheetView>
  </sheetViews>
  <sheetFormatPr baseColWidth="10" defaultRowHeight="15"/>
  <cols>
    <col min="1" max="1" width="37.83203125" style="89" customWidth="1"/>
    <col min="2" max="2" width="9.5" style="89" customWidth="1"/>
    <col min="3" max="8" width="11.1640625" style="89" customWidth="1"/>
    <col min="9" max="9" width="10.33203125" style="89" customWidth="1"/>
    <col min="10" max="10" width="11.1640625" style="89" customWidth="1"/>
    <col min="11" max="11" width="9.5" style="89" customWidth="1"/>
    <col min="12" max="14" width="11.1640625" style="89" customWidth="1"/>
    <col min="15" max="15" width="10.33203125" style="89" customWidth="1"/>
    <col min="16" max="16384" width="10.83203125" style="89"/>
  </cols>
  <sheetData>
    <row r="1" spans="1:15" ht="18">
      <c r="A1" s="175" t="s">
        <v>216</v>
      </c>
      <c r="B1" s="176"/>
      <c r="C1" s="176"/>
      <c r="D1" s="176"/>
      <c r="E1" s="176"/>
      <c r="F1" s="176"/>
      <c r="G1" s="176"/>
      <c r="H1" s="176"/>
      <c r="I1" s="176"/>
      <c r="J1" s="176"/>
      <c r="K1" s="176"/>
      <c r="L1" s="176"/>
      <c r="M1" s="176"/>
      <c r="N1" s="176"/>
      <c r="O1" s="176"/>
    </row>
    <row r="2" spans="1:15" ht="18">
      <c r="A2" s="175" t="str">
        <f>A1</f>
        <v>P&amp;L FORECAST</v>
      </c>
      <c r="B2" s="176"/>
      <c r="C2" s="176"/>
      <c r="D2" s="176"/>
      <c r="E2" s="176"/>
      <c r="F2" s="176"/>
      <c r="G2" s="176"/>
      <c r="H2" s="176"/>
      <c r="I2" s="176"/>
      <c r="J2" s="176"/>
      <c r="K2" s="176"/>
      <c r="L2" s="176"/>
      <c r="M2" s="176"/>
      <c r="N2" s="176"/>
      <c r="O2" s="176"/>
    </row>
    <row r="3" spans="1:15">
      <c r="A3" s="177" t="s">
        <v>217</v>
      </c>
      <c r="B3" s="176"/>
      <c r="C3" s="176"/>
      <c r="D3" s="176"/>
      <c r="E3" s="176"/>
      <c r="F3" s="176"/>
      <c r="G3" s="176"/>
      <c r="H3" s="176"/>
      <c r="I3" s="176"/>
      <c r="J3" s="176"/>
      <c r="K3" s="176"/>
      <c r="L3" s="176"/>
      <c r="M3" s="176"/>
      <c r="N3" s="176"/>
      <c r="O3" s="176"/>
    </row>
    <row r="4" spans="1:15">
      <c r="B4" s="89" t="s">
        <v>222</v>
      </c>
      <c r="C4" s="89" t="s">
        <v>223</v>
      </c>
      <c r="D4" s="89" t="s">
        <v>220</v>
      </c>
      <c r="E4" s="89" t="s">
        <v>221</v>
      </c>
      <c r="F4" s="89" t="s">
        <v>222</v>
      </c>
      <c r="G4" s="89" t="s">
        <v>223</v>
      </c>
      <c r="H4" s="89" t="s">
        <v>220</v>
      </c>
      <c r="I4" s="89" t="s">
        <v>221</v>
      </c>
      <c r="J4" s="89" t="s">
        <v>222</v>
      </c>
      <c r="K4" s="89" t="s">
        <v>223</v>
      </c>
      <c r="L4" s="89" t="s">
        <v>220</v>
      </c>
      <c r="M4" s="89" t="s">
        <v>221</v>
      </c>
      <c r="N4" s="89" t="s">
        <v>222</v>
      </c>
      <c r="O4" s="89" t="s">
        <v>223</v>
      </c>
    </row>
    <row r="5" spans="1:15">
      <c r="A5" s="1"/>
      <c r="B5" s="129" t="s">
        <v>218</v>
      </c>
      <c r="C5" s="129" t="s">
        <v>218</v>
      </c>
      <c r="D5" s="129" t="s">
        <v>218</v>
      </c>
      <c r="E5" s="129" t="s">
        <v>218</v>
      </c>
      <c r="F5" s="129" t="s">
        <v>218</v>
      </c>
      <c r="G5" s="129" t="s">
        <v>218</v>
      </c>
      <c r="H5" s="129" t="s">
        <v>218</v>
      </c>
      <c r="I5" s="129" t="s">
        <v>218</v>
      </c>
      <c r="J5" s="129" t="s">
        <v>218</v>
      </c>
      <c r="K5" s="129" t="s">
        <v>218</v>
      </c>
      <c r="L5" s="129" t="s">
        <v>218</v>
      </c>
      <c r="M5" s="129" t="s">
        <v>218</v>
      </c>
      <c r="N5" s="129" t="s">
        <v>218</v>
      </c>
      <c r="O5" s="129" t="s">
        <v>218</v>
      </c>
    </row>
    <row r="6" spans="1:15" s="66" customFormat="1">
      <c r="A6" s="113" t="s">
        <v>0</v>
      </c>
      <c r="B6" s="114"/>
      <c r="C6" s="114"/>
      <c r="D6" s="114"/>
      <c r="E6" s="114"/>
      <c r="F6" s="114"/>
      <c r="G6" s="114"/>
      <c r="H6" s="114"/>
      <c r="I6" s="114"/>
      <c r="J6" s="114"/>
      <c r="K6" s="114"/>
      <c r="L6" s="114"/>
      <c r="M6" s="114"/>
      <c r="N6" s="114"/>
      <c r="O6" s="114"/>
    </row>
    <row r="7" spans="1:15" s="66" customFormat="1">
      <c r="A7" s="113" t="s">
        <v>28</v>
      </c>
      <c r="B7" s="114"/>
      <c r="C7" s="114"/>
      <c r="D7" s="114"/>
      <c r="E7" s="114"/>
      <c r="F7" s="114"/>
      <c r="G7" s="114"/>
      <c r="H7" s="114"/>
      <c r="I7" s="114"/>
      <c r="J7" s="114"/>
      <c r="K7" s="114"/>
      <c r="L7" s="114"/>
      <c r="M7" s="114"/>
      <c r="N7" s="114"/>
      <c r="O7" s="114"/>
    </row>
    <row r="8" spans="1:15" s="66" customFormat="1">
      <c r="A8" s="113" t="s">
        <v>197</v>
      </c>
      <c r="B8" s="115"/>
      <c r="C8" s="114"/>
      <c r="D8" s="114"/>
      <c r="E8" s="114"/>
      <c r="F8" s="114"/>
      <c r="G8" s="114"/>
      <c r="H8" s="114"/>
      <c r="I8" s="114"/>
      <c r="J8" s="114"/>
      <c r="K8" s="114"/>
      <c r="L8" s="114"/>
      <c r="M8" s="114"/>
      <c r="N8" s="114"/>
      <c r="O8" s="114"/>
    </row>
    <row r="9" spans="1:15" s="66" customFormat="1">
      <c r="A9" s="113" t="s">
        <v>198</v>
      </c>
      <c r="B9" s="115"/>
      <c r="C9" s="114"/>
      <c r="D9" s="114"/>
      <c r="E9" s="114"/>
      <c r="F9" s="114"/>
      <c r="G9" s="114"/>
      <c r="H9" s="114"/>
      <c r="I9" s="114"/>
      <c r="J9" s="114"/>
      <c r="K9" s="114"/>
      <c r="L9" s="114"/>
      <c r="M9" s="114"/>
      <c r="N9" s="114"/>
      <c r="O9" s="114"/>
    </row>
    <row r="10" spans="1:15" s="66" customFormat="1">
      <c r="A10" s="113" t="s">
        <v>199</v>
      </c>
      <c r="B10" s="115"/>
      <c r="C10" s="114"/>
      <c r="D10" s="114"/>
      <c r="E10" s="114"/>
      <c r="F10" s="114"/>
      <c r="G10" s="114"/>
      <c r="H10" s="114"/>
      <c r="I10" s="114"/>
      <c r="J10" s="114"/>
      <c r="K10" s="114"/>
      <c r="L10" s="114"/>
      <c r="M10" s="114"/>
      <c r="N10" s="114"/>
      <c r="O10" s="114"/>
    </row>
    <row r="11" spans="1:15" s="66" customFormat="1">
      <c r="A11" s="113" t="s">
        <v>29</v>
      </c>
      <c r="B11" s="115"/>
      <c r="C11" s="114"/>
      <c r="D11" s="114"/>
      <c r="E11" s="114"/>
      <c r="F11" s="114"/>
      <c r="G11" s="114"/>
      <c r="H11" s="114"/>
      <c r="I11" s="114"/>
      <c r="J11" s="114"/>
      <c r="K11" s="114"/>
      <c r="L11" s="114"/>
      <c r="M11" s="114"/>
      <c r="N11" s="114"/>
      <c r="O11" s="114"/>
    </row>
    <row r="12" spans="1:15" s="66" customFormat="1">
      <c r="A12" s="113" t="s">
        <v>26</v>
      </c>
      <c r="B12" s="115"/>
      <c r="C12" s="114"/>
      <c r="D12" s="114"/>
      <c r="E12" s="114"/>
      <c r="F12" s="114"/>
      <c r="G12" s="114"/>
      <c r="H12" s="114"/>
      <c r="I12" s="114"/>
      <c r="J12" s="114"/>
      <c r="K12" s="114"/>
      <c r="L12" s="114"/>
      <c r="M12" s="114"/>
      <c r="N12" s="114"/>
      <c r="O12" s="114"/>
    </row>
    <row r="13" spans="1:15" s="66" customFormat="1">
      <c r="A13" s="113" t="s">
        <v>200</v>
      </c>
      <c r="B13" s="115"/>
      <c r="C13" s="114"/>
      <c r="D13" s="114"/>
      <c r="E13" s="114"/>
      <c r="F13" s="114"/>
      <c r="G13" s="114"/>
      <c r="H13" s="114"/>
      <c r="I13" s="114"/>
      <c r="J13" s="114"/>
      <c r="K13" s="114"/>
      <c r="L13" s="114"/>
      <c r="M13" s="114"/>
      <c r="N13" s="114"/>
      <c r="O13" s="114"/>
    </row>
    <row r="14" spans="1:15" s="66" customFormat="1">
      <c r="A14" s="113" t="s">
        <v>201</v>
      </c>
      <c r="B14" s="115"/>
      <c r="C14" s="114"/>
      <c r="D14" s="114"/>
      <c r="E14" s="114"/>
      <c r="F14" s="114"/>
      <c r="G14" s="114"/>
      <c r="H14" s="114"/>
      <c r="I14" s="114"/>
      <c r="J14" s="114"/>
      <c r="K14" s="114"/>
      <c r="L14" s="114"/>
      <c r="M14" s="114"/>
      <c r="N14" s="114"/>
      <c r="O14" s="114"/>
    </row>
    <row r="15" spans="1:15" s="66" customFormat="1">
      <c r="A15" s="113" t="s">
        <v>202</v>
      </c>
      <c r="B15" s="115"/>
      <c r="C15" s="114"/>
      <c r="D15" s="114"/>
      <c r="E15" s="114"/>
      <c r="F15" s="114"/>
      <c r="G15" s="114"/>
      <c r="H15" s="114"/>
      <c r="I15" s="114"/>
      <c r="J15" s="114"/>
      <c r="K15" s="114"/>
      <c r="L15" s="114"/>
      <c r="M15" s="114"/>
      <c r="N15" s="114"/>
      <c r="O15" s="114"/>
    </row>
    <row r="16" spans="1:15" s="66" customFormat="1">
      <c r="A16" s="113" t="s">
        <v>27</v>
      </c>
      <c r="B16" s="115"/>
      <c r="C16" s="114"/>
      <c r="D16" s="114"/>
      <c r="E16" s="114"/>
      <c r="F16" s="114"/>
      <c r="G16" s="114"/>
      <c r="H16" s="114"/>
      <c r="I16" s="114"/>
      <c r="J16" s="114"/>
      <c r="K16" s="114"/>
      <c r="L16" s="114"/>
      <c r="M16" s="114"/>
      <c r="N16" s="114"/>
      <c r="O16" s="114"/>
    </row>
    <row r="17" spans="1:24" s="66" customFormat="1">
      <c r="A17" s="113" t="s">
        <v>1</v>
      </c>
      <c r="B17" s="115"/>
      <c r="C17" s="114"/>
      <c r="D17" s="114"/>
      <c r="E17" s="114"/>
      <c r="F17" s="114"/>
      <c r="G17" s="114"/>
      <c r="H17" s="114"/>
      <c r="I17" s="114"/>
      <c r="J17" s="114"/>
      <c r="K17" s="114"/>
      <c r="L17" s="114"/>
      <c r="M17" s="114"/>
      <c r="N17" s="114"/>
      <c r="O17" s="114"/>
    </row>
    <row r="18" spans="1:24" s="66" customFormat="1">
      <c r="A18" s="113" t="s">
        <v>2</v>
      </c>
      <c r="B18" s="115"/>
      <c r="C18" s="114"/>
      <c r="D18" s="114"/>
      <c r="E18" s="114"/>
      <c r="F18" s="114"/>
      <c r="G18" s="114"/>
      <c r="H18" s="114"/>
      <c r="I18" s="114"/>
      <c r="J18" s="114"/>
      <c r="K18" s="114"/>
      <c r="L18" s="114"/>
      <c r="M18" s="114"/>
      <c r="N18" s="114"/>
      <c r="O18" s="114"/>
    </row>
    <row r="19" spans="1:24" s="66" customFormat="1" ht="15" customHeight="1">
      <c r="A19" s="113" t="s">
        <v>3</v>
      </c>
      <c r="B19" s="115"/>
      <c r="C19" s="114"/>
      <c r="D19" s="114"/>
      <c r="E19" s="114"/>
      <c r="F19" s="114"/>
      <c r="G19" s="114"/>
      <c r="H19" s="114"/>
      <c r="I19" s="114"/>
      <c r="J19" s="114"/>
      <c r="K19" s="114"/>
      <c r="L19" s="114"/>
      <c r="M19" s="114"/>
      <c r="N19" s="114"/>
      <c r="O19" s="114"/>
    </row>
    <row r="20" spans="1:24" s="66" customFormat="1" ht="15" customHeight="1">
      <c r="A20" s="113" t="s">
        <v>30</v>
      </c>
      <c r="B20" s="117"/>
      <c r="C20" s="117"/>
      <c r="D20" s="117"/>
      <c r="E20" s="117"/>
      <c r="F20" s="117"/>
      <c r="G20" s="117"/>
      <c r="H20" s="117"/>
      <c r="I20" s="117"/>
      <c r="J20" s="117"/>
      <c r="K20" s="117"/>
      <c r="L20" s="117"/>
      <c r="M20" s="117"/>
      <c r="N20" s="117"/>
      <c r="O20" s="117"/>
    </row>
    <row r="21" spans="1:24" s="66" customFormat="1" ht="15" customHeight="1">
      <c r="A21" s="113" t="s">
        <v>31</v>
      </c>
      <c r="B21" s="118"/>
      <c r="C21" s="118"/>
      <c r="D21" s="118"/>
      <c r="E21" s="118"/>
      <c r="F21" s="118"/>
      <c r="G21" s="118"/>
      <c r="H21" s="118"/>
      <c r="I21" s="118"/>
      <c r="J21" s="118"/>
      <c r="K21" s="118"/>
      <c r="L21" s="118"/>
      <c r="M21" s="118"/>
      <c r="N21" s="118"/>
      <c r="O21" s="118"/>
    </row>
    <row r="22" spans="1:24" s="66" customFormat="1" ht="15" customHeight="1">
      <c r="A22" s="113" t="s">
        <v>203</v>
      </c>
      <c r="B22" s="118"/>
      <c r="C22" s="118"/>
      <c r="D22" s="118"/>
      <c r="E22" s="118"/>
      <c r="F22" s="118"/>
      <c r="G22" s="118"/>
      <c r="H22" s="118"/>
      <c r="I22" s="118"/>
      <c r="J22" s="118"/>
      <c r="K22" s="118"/>
      <c r="L22" s="118"/>
      <c r="M22" s="118"/>
      <c r="N22" s="118"/>
      <c r="O22" s="118"/>
    </row>
    <row r="23" spans="1:24" s="66" customFormat="1" ht="15" customHeight="1">
      <c r="A23" s="113" t="s">
        <v>204</v>
      </c>
      <c r="B23" s="118"/>
      <c r="C23" s="118"/>
      <c r="D23" s="118"/>
      <c r="E23" s="118"/>
      <c r="F23" s="118"/>
      <c r="G23" s="118"/>
      <c r="H23" s="118"/>
      <c r="I23" s="118"/>
      <c r="J23" s="118"/>
      <c r="K23" s="118"/>
      <c r="L23" s="118"/>
      <c r="M23" s="118"/>
      <c r="N23" s="118"/>
      <c r="O23" s="118"/>
    </row>
    <row r="24" spans="1:24" s="66" customFormat="1" ht="15" customHeight="1">
      <c r="A24" s="113" t="s">
        <v>205</v>
      </c>
      <c r="B24" s="119"/>
      <c r="C24" s="119"/>
      <c r="D24" s="119"/>
      <c r="E24" s="119"/>
      <c r="F24" s="119"/>
      <c r="G24" s="119"/>
      <c r="H24" s="119"/>
      <c r="I24" s="119"/>
      <c r="J24" s="119"/>
      <c r="K24" s="119"/>
      <c r="L24" s="119"/>
      <c r="M24" s="119"/>
      <c r="N24" s="119"/>
      <c r="O24" s="119"/>
    </row>
    <row r="25" spans="1:24" s="66" customFormat="1">
      <c r="A25" s="113" t="s">
        <v>32</v>
      </c>
      <c r="B25" s="116">
        <f t="shared" ref="B25:O25" si="0">(((B21)+(B22))+(B23))+(B24)</f>
        <v>0</v>
      </c>
      <c r="C25" s="116">
        <f t="shared" si="0"/>
        <v>0</v>
      </c>
      <c r="D25" s="116">
        <f t="shared" si="0"/>
        <v>0</v>
      </c>
      <c r="E25" s="116">
        <f t="shared" si="0"/>
        <v>0</v>
      </c>
      <c r="F25" s="116">
        <f t="shared" si="0"/>
        <v>0</v>
      </c>
      <c r="G25" s="116">
        <f t="shared" si="0"/>
        <v>0</v>
      </c>
      <c r="H25" s="116">
        <f t="shared" si="0"/>
        <v>0</v>
      </c>
      <c r="I25" s="116">
        <f t="shared" si="0"/>
        <v>0</v>
      </c>
      <c r="J25" s="116">
        <f t="shared" si="0"/>
        <v>0</v>
      </c>
      <c r="K25" s="116">
        <f t="shared" si="0"/>
        <v>0</v>
      </c>
      <c r="L25" s="116">
        <f t="shared" si="0"/>
        <v>0</v>
      </c>
      <c r="M25" s="116">
        <f t="shared" si="0"/>
        <v>0</v>
      </c>
      <c r="N25" s="116">
        <f t="shared" si="0"/>
        <v>0</v>
      </c>
      <c r="O25" s="116">
        <f t="shared" si="0"/>
        <v>0</v>
      </c>
    </row>
    <row r="26" spans="1:24" s="66" customFormat="1">
      <c r="A26" s="113" t="s">
        <v>33</v>
      </c>
      <c r="B26" s="116">
        <f t="shared" ref="B26:O26" si="1">(B20)+(B25)</f>
        <v>0</v>
      </c>
      <c r="C26" s="116">
        <f t="shared" si="1"/>
        <v>0</v>
      </c>
      <c r="D26" s="116">
        <f t="shared" si="1"/>
        <v>0</v>
      </c>
      <c r="E26" s="116">
        <f t="shared" si="1"/>
        <v>0</v>
      </c>
      <c r="F26" s="116">
        <f t="shared" si="1"/>
        <v>0</v>
      </c>
      <c r="G26" s="116">
        <f t="shared" si="1"/>
        <v>0</v>
      </c>
      <c r="H26" s="116">
        <f t="shared" si="1"/>
        <v>0</v>
      </c>
      <c r="I26" s="116">
        <f t="shared" si="1"/>
        <v>0</v>
      </c>
      <c r="J26" s="116">
        <f t="shared" si="1"/>
        <v>0</v>
      </c>
      <c r="K26" s="116">
        <f t="shared" si="1"/>
        <v>0</v>
      </c>
      <c r="L26" s="116">
        <f t="shared" si="1"/>
        <v>0</v>
      </c>
      <c r="M26" s="116">
        <f t="shared" si="1"/>
        <v>0</v>
      </c>
      <c r="N26" s="116">
        <f t="shared" si="1"/>
        <v>0</v>
      </c>
      <c r="O26" s="116">
        <f t="shared" si="1"/>
        <v>0</v>
      </c>
    </row>
    <row r="27" spans="1:24" s="66" customFormat="1">
      <c r="A27" s="113" t="s">
        <v>4</v>
      </c>
      <c r="B27" s="116">
        <f t="shared" ref="B27:O27" si="2">B26</f>
        <v>0</v>
      </c>
      <c r="C27" s="116">
        <f t="shared" si="2"/>
        <v>0</v>
      </c>
      <c r="D27" s="116">
        <f t="shared" si="2"/>
        <v>0</v>
      </c>
      <c r="E27" s="116">
        <f t="shared" si="2"/>
        <v>0</v>
      </c>
      <c r="F27" s="116">
        <f t="shared" si="2"/>
        <v>0</v>
      </c>
      <c r="G27" s="116">
        <f t="shared" si="2"/>
        <v>0</v>
      </c>
      <c r="H27" s="116">
        <f t="shared" si="2"/>
        <v>0</v>
      </c>
      <c r="I27" s="116">
        <f t="shared" si="2"/>
        <v>0</v>
      </c>
      <c r="J27" s="116">
        <f t="shared" si="2"/>
        <v>0</v>
      </c>
      <c r="K27" s="116">
        <f t="shared" si="2"/>
        <v>0</v>
      </c>
      <c r="L27" s="116">
        <f t="shared" si="2"/>
        <v>0</v>
      </c>
      <c r="M27" s="116">
        <f t="shared" si="2"/>
        <v>0</v>
      </c>
      <c r="N27" s="116">
        <f t="shared" si="2"/>
        <v>0</v>
      </c>
      <c r="O27" s="116">
        <f t="shared" si="2"/>
        <v>0</v>
      </c>
    </row>
    <row r="28" spans="1:24" s="66" customFormat="1">
      <c r="A28" s="113" t="s">
        <v>5</v>
      </c>
      <c r="B28" s="116">
        <f t="shared" ref="B28:O28" si="3">(B18)-(B27)</f>
        <v>0</v>
      </c>
      <c r="C28" s="116">
        <f t="shared" si="3"/>
        <v>0</v>
      </c>
      <c r="D28" s="116">
        <f t="shared" si="3"/>
        <v>0</v>
      </c>
      <c r="E28" s="116">
        <f t="shared" si="3"/>
        <v>0</v>
      </c>
      <c r="F28" s="116">
        <f t="shared" si="3"/>
        <v>0</v>
      </c>
      <c r="G28" s="116">
        <f t="shared" si="3"/>
        <v>0</v>
      </c>
      <c r="H28" s="116">
        <f t="shared" si="3"/>
        <v>0</v>
      </c>
      <c r="I28" s="116">
        <f t="shared" si="3"/>
        <v>0</v>
      </c>
      <c r="J28" s="116">
        <f t="shared" si="3"/>
        <v>0</v>
      </c>
      <c r="K28" s="116">
        <f t="shared" si="3"/>
        <v>0</v>
      </c>
      <c r="L28" s="116">
        <f t="shared" si="3"/>
        <v>0</v>
      </c>
      <c r="M28" s="116">
        <f t="shared" si="3"/>
        <v>0</v>
      </c>
      <c r="N28" s="116">
        <f t="shared" si="3"/>
        <v>0</v>
      </c>
      <c r="O28" s="116">
        <f t="shared" si="3"/>
        <v>0</v>
      </c>
    </row>
    <row r="29" spans="1:24" s="66" customFormat="1">
      <c r="A29" s="113" t="s">
        <v>6</v>
      </c>
      <c r="B29" s="114"/>
      <c r="C29" s="114"/>
      <c r="D29" s="114"/>
      <c r="E29" s="114"/>
      <c r="F29" s="114"/>
      <c r="G29" s="114"/>
      <c r="H29" s="114"/>
      <c r="I29" s="114"/>
      <c r="J29" s="114"/>
      <c r="K29" s="114"/>
      <c r="L29" s="114"/>
      <c r="M29" s="114"/>
      <c r="N29" s="114"/>
      <c r="O29" s="114"/>
    </row>
    <row r="30" spans="1:24" s="66" customFormat="1">
      <c r="A30" s="113" t="s">
        <v>83</v>
      </c>
      <c r="B30" s="114"/>
      <c r="C30" s="114"/>
      <c r="D30" s="114"/>
      <c r="E30" s="114"/>
      <c r="F30" s="114"/>
      <c r="G30" s="114"/>
      <c r="H30" s="114"/>
      <c r="I30" s="114"/>
      <c r="J30" s="114"/>
      <c r="K30" s="114"/>
      <c r="L30" s="114"/>
      <c r="M30" s="114"/>
      <c r="N30" s="114"/>
      <c r="O30" s="114"/>
    </row>
    <row r="31" spans="1:24" s="66" customFormat="1">
      <c r="A31" s="113" t="s">
        <v>84</v>
      </c>
      <c r="B31" s="114">
        <f>0</f>
        <v>0</v>
      </c>
      <c r="C31" s="114">
        <v>35</v>
      </c>
      <c r="D31" s="114">
        <f>25+50</f>
        <v>75</v>
      </c>
      <c r="E31" s="114">
        <f>0</f>
        <v>0</v>
      </c>
      <c r="F31" s="114">
        <f>0</f>
        <v>0</v>
      </c>
      <c r="G31" s="114">
        <f>0</f>
        <v>0</v>
      </c>
      <c r="H31" s="114">
        <f>0</f>
        <v>0</v>
      </c>
      <c r="I31" s="114">
        <f>0</f>
        <v>0</v>
      </c>
      <c r="J31" s="114">
        <f>0</f>
        <v>0</v>
      </c>
      <c r="K31" s="114">
        <f>0</f>
        <v>0</v>
      </c>
      <c r="L31" s="114">
        <f>0</f>
        <v>0</v>
      </c>
      <c r="M31" s="114">
        <f>0</f>
        <v>0</v>
      </c>
      <c r="N31" s="114">
        <f>0</f>
        <v>0</v>
      </c>
      <c r="O31" s="114">
        <f>0</f>
        <v>0</v>
      </c>
      <c r="P31" s="173" t="s">
        <v>219</v>
      </c>
      <c r="Q31" s="173"/>
      <c r="R31" s="173"/>
      <c r="S31" s="173"/>
      <c r="T31" s="173"/>
      <c r="U31" s="173"/>
      <c r="V31" s="173"/>
      <c r="W31" s="173"/>
      <c r="X31" s="173"/>
    </row>
    <row r="32" spans="1:24" s="66" customFormat="1">
      <c r="A32" s="113" t="s">
        <v>85</v>
      </c>
      <c r="B32" s="114">
        <f>0</f>
        <v>0</v>
      </c>
      <c r="C32" s="114">
        <f>0</f>
        <v>0</v>
      </c>
      <c r="D32" s="114">
        <f>0</f>
        <v>0</v>
      </c>
      <c r="E32" s="114">
        <v>275</v>
      </c>
      <c r="F32" s="114">
        <f>0</f>
        <v>0</v>
      </c>
      <c r="G32" s="114">
        <f>0</f>
        <v>0</v>
      </c>
      <c r="H32" s="114">
        <f>0</f>
        <v>0</v>
      </c>
      <c r="I32" s="114">
        <v>275</v>
      </c>
      <c r="J32" s="114">
        <f>0</f>
        <v>0</v>
      </c>
      <c r="K32" s="114">
        <f>0</f>
        <v>0</v>
      </c>
      <c r="L32" s="114">
        <f>0</f>
        <v>0</v>
      </c>
      <c r="M32" s="114">
        <v>275</v>
      </c>
      <c r="N32" s="114">
        <v>0</v>
      </c>
      <c r="O32" s="114">
        <v>0</v>
      </c>
      <c r="P32" s="173" t="s">
        <v>224</v>
      </c>
      <c r="Q32" s="173"/>
      <c r="R32" s="173"/>
      <c r="S32" s="173"/>
      <c r="T32" s="173"/>
      <c r="U32" s="173"/>
      <c r="V32" s="173"/>
      <c r="W32" s="173"/>
      <c r="X32" s="173"/>
    </row>
    <row r="33" spans="1:24" s="66" customFormat="1">
      <c r="A33" s="113" t="s">
        <v>86</v>
      </c>
      <c r="B33" s="114"/>
      <c r="C33" s="114"/>
      <c r="D33" s="114"/>
      <c r="E33" s="114"/>
      <c r="F33" s="114"/>
      <c r="G33" s="114"/>
      <c r="H33" s="114"/>
      <c r="I33" s="114"/>
      <c r="J33" s="114"/>
      <c r="K33" s="114"/>
      <c r="L33" s="114"/>
      <c r="M33" s="114"/>
      <c r="N33" s="114"/>
      <c r="O33" s="114"/>
    </row>
    <row r="34" spans="1:24" s="66" customFormat="1">
      <c r="A34" s="113" t="s">
        <v>87</v>
      </c>
      <c r="B34" s="114">
        <f>0</f>
        <v>0</v>
      </c>
      <c r="C34" s="114">
        <f>0</f>
        <v>0</v>
      </c>
      <c r="D34" s="114">
        <f>0</f>
        <v>0</v>
      </c>
      <c r="E34" s="114">
        <f>0</f>
        <v>0</v>
      </c>
      <c r="F34" s="114">
        <f>0</f>
        <v>0</v>
      </c>
      <c r="G34" s="114">
        <f>169.88</f>
        <v>169.88</v>
      </c>
      <c r="H34" s="114">
        <f>0</f>
        <v>0</v>
      </c>
      <c r="I34" s="114">
        <f>0</f>
        <v>0</v>
      </c>
      <c r="J34" s="114">
        <f>0</f>
        <v>0</v>
      </c>
      <c r="K34" s="114">
        <f>0</f>
        <v>0</v>
      </c>
      <c r="L34" s="114">
        <f>175.55</f>
        <v>175.55</v>
      </c>
      <c r="M34" s="114">
        <f>0</f>
        <v>0</v>
      </c>
      <c r="N34" s="114">
        <f>0</f>
        <v>0</v>
      </c>
      <c r="O34" s="114">
        <f>0</f>
        <v>0</v>
      </c>
      <c r="P34" s="173" t="s">
        <v>225</v>
      </c>
      <c r="Q34" s="173"/>
      <c r="R34" s="173"/>
      <c r="S34" s="173"/>
      <c r="T34" s="173"/>
      <c r="U34" s="173"/>
      <c r="V34" s="173"/>
      <c r="W34" s="173"/>
      <c r="X34" s="173"/>
    </row>
    <row r="35" spans="1:24" s="66" customFormat="1">
      <c r="A35" s="113" t="s">
        <v>88</v>
      </c>
      <c r="B35" s="114">
        <f>0</f>
        <v>0</v>
      </c>
      <c r="C35" s="114">
        <f>0</f>
        <v>0</v>
      </c>
      <c r="D35" s="114">
        <f>0</f>
        <v>0</v>
      </c>
      <c r="E35" s="114">
        <f>0</f>
        <v>0</v>
      </c>
      <c r="F35" s="114">
        <f>0</f>
        <v>0</v>
      </c>
      <c r="G35" s="114">
        <f>0</f>
        <v>0</v>
      </c>
      <c r="H35" s="114">
        <f>0</f>
        <v>0</v>
      </c>
      <c r="I35" s="114">
        <f>0</f>
        <v>0</v>
      </c>
      <c r="J35" s="114">
        <f>0</f>
        <v>0</v>
      </c>
      <c r="K35" s="114">
        <f>0</f>
        <v>0</v>
      </c>
      <c r="L35" s="114">
        <f>0</f>
        <v>0</v>
      </c>
      <c r="M35" s="114">
        <f>0</f>
        <v>0</v>
      </c>
      <c r="N35" s="114">
        <f>0</f>
        <v>0</v>
      </c>
      <c r="O35" s="114">
        <f>0</f>
        <v>0</v>
      </c>
      <c r="P35" s="173" t="s">
        <v>226</v>
      </c>
      <c r="Q35" s="173"/>
      <c r="R35" s="173"/>
      <c r="S35" s="173"/>
      <c r="T35" s="173"/>
      <c r="U35" s="173"/>
      <c r="V35" s="173"/>
      <c r="W35" s="173"/>
      <c r="X35" s="173"/>
    </row>
    <row r="36" spans="1:24" s="66" customFormat="1">
      <c r="A36" s="113" t="s">
        <v>89</v>
      </c>
      <c r="B36" s="116">
        <f t="shared" ref="B36:O36" si="4">((B33)+(B34))+(B35)</f>
        <v>0</v>
      </c>
      <c r="C36" s="116">
        <f t="shared" si="4"/>
        <v>0</v>
      </c>
      <c r="D36" s="116">
        <f t="shared" si="4"/>
        <v>0</v>
      </c>
      <c r="E36" s="116">
        <f t="shared" si="4"/>
        <v>0</v>
      </c>
      <c r="F36" s="116">
        <f t="shared" si="4"/>
        <v>0</v>
      </c>
      <c r="G36" s="116">
        <f t="shared" si="4"/>
        <v>169.88</v>
      </c>
      <c r="H36" s="116">
        <f t="shared" si="4"/>
        <v>0</v>
      </c>
      <c r="I36" s="116">
        <f t="shared" si="4"/>
        <v>0</v>
      </c>
      <c r="J36" s="116">
        <f t="shared" si="4"/>
        <v>0</v>
      </c>
      <c r="K36" s="116">
        <f t="shared" si="4"/>
        <v>0</v>
      </c>
      <c r="L36" s="116">
        <f t="shared" si="4"/>
        <v>175.55</v>
      </c>
      <c r="M36" s="116">
        <f t="shared" si="4"/>
        <v>0</v>
      </c>
      <c r="N36" s="116">
        <f t="shared" si="4"/>
        <v>0</v>
      </c>
      <c r="O36" s="116">
        <f t="shared" si="4"/>
        <v>0</v>
      </c>
    </row>
    <row r="37" spans="1:24" s="66" customFormat="1">
      <c r="A37" s="113" t="str">
        <f>'P&amp;L by Week Actual (Notated)'!A37</f>
        <v xml:space="preserve">      6-1060 Meals and Entertainment</v>
      </c>
      <c r="B37" s="114">
        <v>150</v>
      </c>
      <c r="C37" s="114">
        <v>150</v>
      </c>
      <c r="D37" s="114">
        <v>150</v>
      </c>
      <c r="E37" s="114">
        <v>150</v>
      </c>
      <c r="F37" s="114">
        <v>150</v>
      </c>
      <c r="G37" s="114">
        <v>150</v>
      </c>
      <c r="H37" s="114">
        <v>150</v>
      </c>
      <c r="I37" s="114">
        <v>150</v>
      </c>
      <c r="J37" s="114">
        <v>150</v>
      </c>
      <c r="K37" s="114">
        <v>150</v>
      </c>
      <c r="L37" s="114">
        <v>150</v>
      </c>
      <c r="M37" s="114">
        <v>150</v>
      </c>
      <c r="N37" s="114">
        <v>150</v>
      </c>
      <c r="O37" s="114">
        <v>150</v>
      </c>
      <c r="P37" s="173" t="s">
        <v>227</v>
      </c>
      <c r="Q37" s="173"/>
      <c r="R37" s="173"/>
      <c r="S37" s="173"/>
      <c r="T37" s="173"/>
      <c r="U37" s="173"/>
      <c r="V37" s="173"/>
      <c r="W37" s="173"/>
      <c r="X37" s="173"/>
    </row>
    <row r="38" spans="1:24" s="66" customFormat="1">
      <c r="A38" s="113" t="str">
        <f>'P&amp;L by Week Actual (Notated)'!A38</f>
        <v xml:space="preserve">      6-1070 Office Supplies</v>
      </c>
      <c r="B38" s="114">
        <v>250</v>
      </c>
      <c r="C38" s="114">
        <v>250</v>
      </c>
      <c r="D38" s="114">
        <v>250</v>
      </c>
      <c r="E38" s="114">
        <v>250</v>
      </c>
      <c r="F38" s="114">
        <v>250</v>
      </c>
      <c r="G38" s="114">
        <v>250</v>
      </c>
      <c r="H38" s="114">
        <v>250</v>
      </c>
      <c r="I38" s="114">
        <v>250</v>
      </c>
      <c r="J38" s="114">
        <v>250</v>
      </c>
      <c r="K38" s="114">
        <v>250</v>
      </c>
      <c r="L38" s="114">
        <v>250</v>
      </c>
      <c r="M38" s="114">
        <v>250</v>
      </c>
      <c r="N38" s="114">
        <v>250</v>
      </c>
      <c r="O38" s="114">
        <v>250</v>
      </c>
      <c r="P38" s="173" t="s">
        <v>228</v>
      </c>
      <c r="Q38" s="173"/>
      <c r="R38" s="173"/>
      <c r="S38" s="173"/>
      <c r="T38" s="173"/>
      <c r="U38" s="173"/>
      <c r="V38" s="173"/>
      <c r="W38" s="173"/>
      <c r="X38" s="173"/>
    </row>
    <row r="39" spans="1:24" s="66" customFormat="1">
      <c r="A39" s="113" t="s">
        <v>92</v>
      </c>
      <c r="B39" s="114"/>
      <c r="C39" s="114"/>
      <c r="D39" s="114"/>
      <c r="E39" s="114"/>
      <c r="F39" s="114"/>
      <c r="G39" s="114"/>
      <c r="H39" s="114"/>
      <c r="I39" s="114"/>
      <c r="J39" s="114"/>
      <c r="K39" s="114"/>
      <c r="L39" s="114"/>
      <c r="M39" s="114"/>
      <c r="N39" s="114"/>
      <c r="O39" s="114"/>
    </row>
    <row r="40" spans="1:24" s="66" customFormat="1">
      <c r="A40" s="113" t="str">
        <f>'P&amp;L by Week Actual (Notated)'!A40</f>
        <v xml:space="preserve">         6-1081 Legal</v>
      </c>
      <c r="B40" s="114">
        <f>'P&amp;L by Week Actual (Notated)'!B40</f>
        <v>0</v>
      </c>
      <c r="C40" s="114">
        <f>'P&amp;L by Week Actual (Notated)'!C40</f>
        <v>0</v>
      </c>
      <c r="D40" s="114">
        <f>'P&amp;L by Week Actual (Notated)'!D40</f>
        <v>0</v>
      </c>
      <c r="E40" s="114">
        <v>1000</v>
      </c>
      <c r="F40" s="114">
        <v>0</v>
      </c>
      <c r="G40" s="114">
        <v>0</v>
      </c>
      <c r="H40" s="114">
        <v>0</v>
      </c>
      <c r="I40" s="114">
        <v>750</v>
      </c>
      <c r="J40" s="114">
        <v>0</v>
      </c>
      <c r="K40" s="114">
        <v>0</v>
      </c>
      <c r="L40" s="114">
        <v>0</v>
      </c>
      <c r="M40" s="114">
        <v>0</v>
      </c>
      <c r="N40" s="114">
        <v>750</v>
      </c>
      <c r="O40" s="114">
        <v>0</v>
      </c>
      <c r="P40" s="173" t="s">
        <v>229</v>
      </c>
      <c r="Q40" s="173"/>
      <c r="R40" s="173"/>
      <c r="S40" s="173"/>
      <c r="T40" s="173"/>
      <c r="U40" s="173"/>
      <c r="V40" s="173"/>
      <c r="W40" s="173"/>
      <c r="X40" s="173"/>
    </row>
    <row r="41" spans="1:24" s="66" customFormat="1">
      <c r="A41" s="113" t="str">
        <f>'P&amp;L by Week Actual (Notated)'!A41</f>
        <v xml:space="preserve">         6-1082 Janitorial</v>
      </c>
      <c r="B41" s="114">
        <v>0</v>
      </c>
      <c r="C41" s="114">
        <v>160</v>
      </c>
      <c r="D41" s="114">
        <f>'P&amp;L by Week Actual (Notated)'!D41</f>
        <v>0</v>
      </c>
      <c r="E41" s="114">
        <v>0</v>
      </c>
      <c r="F41" s="114">
        <v>0</v>
      </c>
      <c r="G41" s="114">
        <v>160</v>
      </c>
      <c r="H41" s="114">
        <f>'P&amp;L by Week Actual (Notated)'!H41</f>
        <v>0</v>
      </c>
      <c r="I41" s="114">
        <v>0</v>
      </c>
      <c r="J41" s="114">
        <v>0</v>
      </c>
      <c r="K41" s="114">
        <v>160</v>
      </c>
      <c r="L41" s="114">
        <f>'P&amp;L by Week Actual (Notated)'!L41</f>
        <v>160</v>
      </c>
      <c r="M41" s="114">
        <v>0</v>
      </c>
      <c r="N41" s="114">
        <v>0</v>
      </c>
      <c r="O41" s="114">
        <v>160</v>
      </c>
      <c r="P41" s="173" t="s">
        <v>230</v>
      </c>
      <c r="Q41" s="173"/>
      <c r="R41" s="173"/>
      <c r="S41" s="173"/>
      <c r="T41" s="173"/>
      <c r="U41" s="173"/>
      <c r="V41" s="173"/>
      <c r="W41" s="173"/>
      <c r="X41" s="173"/>
    </row>
    <row r="42" spans="1:24" s="66" customFormat="1">
      <c r="A42" s="113" t="str">
        <f>'P&amp;L by Week Actual (Notated)'!A42</f>
        <v xml:space="preserve">         6-1083 Accounting</v>
      </c>
      <c r="B42" s="114">
        <v>0</v>
      </c>
      <c r="C42" s="114">
        <v>0</v>
      </c>
      <c r="D42" s="114">
        <v>0</v>
      </c>
      <c r="E42" s="114">
        <v>2000</v>
      </c>
      <c r="F42" s="114">
        <v>0</v>
      </c>
      <c r="G42" s="114">
        <v>0</v>
      </c>
      <c r="H42" s="114">
        <v>0</v>
      </c>
      <c r="I42" s="114">
        <v>2000</v>
      </c>
      <c r="J42" s="114">
        <v>0</v>
      </c>
      <c r="K42" s="114">
        <v>0</v>
      </c>
      <c r="L42" s="114">
        <v>0</v>
      </c>
      <c r="M42" s="114">
        <v>2000</v>
      </c>
      <c r="N42" s="114">
        <v>0</v>
      </c>
      <c r="O42" s="114">
        <v>0</v>
      </c>
      <c r="P42" s="173" t="s">
        <v>231</v>
      </c>
      <c r="Q42" s="173"/>
      <c r="R42" s="173"/>
      <c r="S42" s="173"/>
      <c r="T42" s="173"/>
      <c r="U42" s="173"/>
      <c r="V42" s="173"/>
      <c r="W42" s="173"/>
      <c r="X42" s="173"/>
    </row>
    <row r="43" spans="1:24" s="66" customFormat="1">
      <c r="A43" s="113" t="s">
        <v>96</v>
      </c>
      <c r="B43" s="116">
        <f t="shared" ref="B43:O43" si="5">(((B39)+(B40))+(B41))+(B42)</f>
        <v>0</v>
      </c>
      <c r="C43" s="116">
        <f t="shared" si="5"/>
        <v>160</v>
      </c>
      <c r="D43" s="116">
        <f t="shared" si="5"/>
        <v>0</v>
      </c>
      <c r="E43" s="116">
        <f t="shared" si="5"/>
        <v>3000</v>
      </c>
      <c r="F43" s="116">
        <f t="shared" si="5"/>
        <v>0</v>
      </c>
      <c r="G43" s="116">
        <f t="shared" si="5"/>
        <v>160</v>
      </c>
      <c r="H43" s="116">
        <f t="shared" si="5"/>
        <v>0</v>
      </c>
      <c r="I43" s="116">
        <f t="shared" si="5"/>
        <v>2750</v>
      </c>
      <c r="J43" s="116">
        <f t="shared" si="5"/>
        <v>0</v>
      </c>
      <c r="K43" s="116">
        <f t="shared" si="5"/>
        <v>160</v>
      </c>
      <c r="L43" s="116">
        <f t="shared" si="5"/>
        <v>160</v>
      </c>
      <c r="M43" s="116">
        <f t="shared" si="5"/>
        <v>2000</v>
      </c>
      <c r="N43" s="116">
        <f t="shared" si="5"/>
        <v>750</v>
      </c>
      <c r="O43" s="116">
        <f t="shared" si="5"/>
        <v>160</v>
      </c>
    </row>
    <row r="44" spans="1:24" s="66" customFormat="1">
      <c r="A44" s="113" t="str">
        <f>'P&amp;L by Week Actual (Notated)'!A44</f>
        <v xml:space="preserve">      6-1090 Utilities</v>
      </c>
      <c r="B44" s="114">
        <v>0</v>
      </c>
      <c r="C44" s="114">
        <v>300</v>
      </c>
      <c r="D44" s="114">
        <v>0</v>
      </c>
      <c r="E44" s="114">
        <v>0</v>
      </c>
      <c r="F44" s="114">
        <v>0</v>
      </c>
      <c r="G44" s="114">
        <v>300</v>
      </c>
      <c r="H44" s="114">
        <v>0</v>
      </c>
      <c r="I44" s="114">
        <v>0</v>
      </c>
      <c r="J44" s="114">
        <v>0</v>
      </c>
      <c r="K44" s="114">
        <v>300</v>
      </c>
      <c r="L44" s="114">
        <v>0</v>
      </c>
      <c r="M44" s="114">
        <v>0</v>
      </c>
      <c r="N44" s="114">
        <v>0</v>
      </c>
      <c r="O44" s="114">
        <v>300</v>
      </c>
      <c r="P44" s="173" t="s">
        <v>232</v>
      </c>
      <c r="Q44" s="173"/>
      <c r="R44" s="173"/>
      <c r="S44" s="173"/>
      <c r="T44" s="173"/>
      <c r="U44" s="173"/>
      <c r="V44" s="173"/>
      <c r="W44" s="173"/>
      <c r="X44" s="173"/>
    </row>
    <row r="45" spans="1:24" s="66" customFormat="1">
      <c r="A45" s="113" t="str">
        <f>'P&amp;L by Week Actual (Notated)'!A45</f>
        <v xml:space="preserve">      6-1100 Bank Service Charges</v>
      </c>
      <c r="B45" s="114">
        <v>20</v>
      </c>
      <c r="C45" s="114">
        <v>20</v>
      </c>
      <c r="D45" s="114">
        <v>20</v>
      </c>
      <c r="E45" s="114">
        <v>20</v>
      </c>
      <c r="F45" s="114">
        <v>20</v>
      </c>
      <c r="G45" s="114">
        <v>20</v>
      </c>
      <c r="H45" s="114">
        <v>20</v>
      </c>
      <c r="I45" s="114">
        <v>20</v>
      </c>
      <c r="J45" s="114">
        <v>20</v>
      </c>
      <c r="K45" s="114">
        <v>20</v>
      </c>
      <c r="L45" s="114">
        <v>20</v>
      </c>
      <c r="M45" s="114">
        <v>20</v>
      </c>
      <c r="N45" s="114">
        <v>20</v>
      </c>
      <c r="O45" s="114">
        <v>20</v>
      </c>
      <c r="P45" s="173" t="s">
        <v>233</v>
      </c>
      <c r="Q45" s="173"/>
      <c r="R45" s="173"/>
      <c r="S45" s="173"/>
      <c r="T45" s="173"/>
      <c r="U45" s="173"/>
      <c r="V45" s="173"/>
      <c r="W45" s="173"/>
      <c r="X45" s="173"/>
    </row>
    <row r="46" spans="1:24" s="66" customFormat="1">
      <c r="A46" s="113" t="str">
        <f>'P&amp;L by Week Actual (Notated)'!A46</f>
        <v xml:space="preserve">      6-1110 Continuing Education</v>
      </c>
      <c r="B46" s="114">
        <v>110</v>
      </c>
      <c r="C46" s="114">
        <v>0</v>
      </c>
      <c r="D46" s="114">
        <v>0</v>
      </c>
      <c r="E46" s="114">
        <v>110</v>
      </c>
      <c r="F46" s="114">
        <v>0</v>
      </c>
      <c r="G46" s="114">
        <v>0</v>
      </c>
      <c r="H46" s="114">
        <v>0</v>
      </c>
      <c r="I46" s="114">
        <v>110</v>
      </c>
      <c r="J46" s="114">
        <v>0</v>
      </c>
      <c r="K46" s="114">
        <v>0</v>
      </c>
      <c r="L46" s="114">
        <v>0</v>
      </c>
      <c r="M46" s="114">
        <v>110</v>
      </c>
      <c r="N46" s="114">
        <v>0</v>
      </c>
      <c r="O46" s="114">
        <v>0</v>
      </c>
      <c r="P46" s="173" t="s">
        <v>234</v>
      </c>
      <c r="Q46" s="173"/>
      <c r="R46" s="173"/>
      <c r="S46" s="173"/>
      <c r="T46" s="173"/>
      <c r="U46" s="173"/>
      <c r="V46" s="173"/>
      <c r="W46" s="173"/>
      <c r="X46" s="173"/>
    </row>
    <row r="47" spans="1:24" s="66" customFormat="1">
      <c r="A47" s="113" t="str">
        <f>'P&amp;L by Week Actual (Notated)'!A47</f>
        <v xml:space="preserve">      6-1120 Dues and Subscriptions</v>
      </c>
      <c r="B47" s="114">
        <v>275</v>
      </c>
      <c r="C47" s="114">
        <v>700</v>
      </c>
      <c r="D47" s="114">
        <v>100</v>
      </c>
      <c r="E47" s="114">
        <v>100</v>
      </c>
      <c r="F47" s="114">
        <v>275</v>
      </c>
      <c r="G47" s="114">
        <v>700</v>
      </c>
      <c r="H47" s="114">
        <v>100</v>
      </c>
      <c r="I47" s="114">
        <v>100</v>
      </c>
      <c r="J47" s="114">
        <v>275</v>
      </c>
      <c r="K47" s="114">
        <v>700</v>
      </c>
      <c r="L47" s="114">
        <v>100</v>
      </c>
      <c r="M47" s="114">
        <v>100</v>
      </c>
      <c r="N47" s="114">
        <v>275</v>
      </c>
      <c r="O47" s="114">
        <v>700</v>
      </c>
      <c r="P47" s="173" t="s">
        <v>235</v>
      </c>
      <c r="Q47" s="173"/>
      <c r="R47" s="173"/>
      <c r="S47" s="173"/>
      <c r="T47" s="173"/>
      <c r="U47" s="173"/>
      <c r="V47" s="173"/>
      <c r="W47" s="173"/>
      <c r="X47" s="173"/>
    </row>
    <row r="48" spans="1:24" s="66" customFormat="1">
      <c r="A48" s="113" t="str">
        <f>'P&amp;L by Week Actual (Notated)'!A48</f>
        <v xml:space="preserve">      6-1150 Postage and Delivery</v>
      </c>
      <c r="B48" s="114">
        <v>25</v>
      </c>
      <c r="C48" s="114">
        <v>25</v>
      </c>
      <c r="D48" s="114">
        <v>25</v>
      </c>
      <c r="E48" s="114">
        <v>25</v>
      </c>
      <c r="F48" s="114">
        <v>25</v>
      </c>
      <c r="G48" s="114">
        <v>25</v>
      </c>
      <c r="H48" s="114">
        <v>25</v>
      </c>
      <c r="I48" s="114">
        <v>25</v>
      </c>
      <c r="J48" s="114">
        <v>25</v>
      </c>
      <c r="K48" s="114">
        <v>25</v>
      </c>
      <c r="L48" s="114">
        <v>25</v>
      </c>
      <c r="M48" s="114">
        <v>25</v>
      </c>
      <c r="N48" s="114">
        <v>25</v>
      </c>
      <c r="O48" s="114">
        <v>25</v>
      </c>
      <c r="P48" s="173" t="s">
        <v>236</v>
      </c>
      <c r="Q48" s="173"/>
      <c r="R48" s="173"/>
      <c r="S48" s="173"/>
      <c r="T48" s="173"/>
      <c r="U48" s="173"/>
      <c r="V48" s="173"/>
      <c r="W48" s="173"/>
      <c r="X48" s="173"/>
    </row>
    <row r="49" spans="1:24" s="66" customFormat="1">
      <c r="A49" s="113" t="str">
        <f>'P&amp;L by Week Actual (Notated)'!A49</f>
        <v xml:space="preserve">      6-1160 Rent Expense</v>
      </c>
      <c r="B49" s="114">
        <v>0</v>
      </c>
      <c r="C49" s="114">
        <v>2601</v>
      </c>
      <c r="D49" s="114">
        <v>0</v>
      </c>
      <c r="E49" s="114">
        <v>0</v>
      </c>
      <c r="F49" s="114">
        <v>0</v>
      </c>
      <c r="G49" s="114">
        <v>2601</v>
      </c>
      <c r="H49" s="114">
        <v>0</v>
      </c>
      <c r="I49" s="114">
        <v>0</v>
      </c>
      <c r="J49" s="114">
        <v>0</v>
      </c>
      <c r="K49" s="114">
        <v>2601</v>
      </c>
      <c r="L49" s="114">
        <v>0</v>
      </c>
      <c r="M49" s="114">
        <v>0</v>
      </c>
      <c r="N49" s="114">
        <v>0</v>
      </c>
      <c r="O49" s="114">
        <v>2601</v>
      </c>
      <c r="P49" s="173" t="s">
        <v>237</v>
      </c>
      <c r="Q49" s="173"/>
      <c r="R49" s="173"/>
      <c r="S49" s="173"/>
      <c r="T49" s="173"/>
      <c r="U49" s="173"/>
      <c r="V49" s="173"/>
      <c r="W49" s="173"/>
      <c r="X49" s="173"/>
    </row>
    <row r="50" spans="1:24" s="66" customFormat="1">
      <c r="A50" s="113" t="str">
        <f>'P&amp;L by Week Actual (Notated)'!A50</f>
        <v xml:space="preserve">      6-1180 Telephone Expense</v>
      </c>
      <c r="B50" s="114">
        <v>0</v>
      </c>
      <c r="C50" s="114">
        <v>80</v>
      </c>
      <c r="D50" s="114">
        <v>0</v>
      </c>
      <c r="E50" s="114">
        <v>0</v>
      </c>
      <c r="F50" s="114">
        <v>0</v>
      </c>
      <c r="G50" s="114">
        <v>80</v>
      </c>
      <c r="H50" s="114">
        <v>0</v>
      </c>
      <c r="I50" s="114">
        <v>0</v>
      </c>
      <c r="J50" s="114">
        <v>0</v>
      </c>
      <c r="K50" s="114">
        <v>80</v>
      </c>
      <c r="L50" s="114">
        <v>0</v>
      </c>
      <c r="M50" s="114">
        <v>0</v>
      </c>
      <c r="N50" s="114">
        <v>0</v>
      </c>
      <c r="O50" s="114">
        <v>80</v>
      </c>
      <c r="P50" s="173" t="s">
        <v>238</v>
      </c>
      <c r="Q50" s="173"/>
      <c r="R50" s="173"/>
      <c r="S50" s="173"/>
      <c r="T50" s="173"/>
      <c r="U50" s="173"/>
      <c r="V50" s="173"/>
      <c r="W50" s="173"/>
      <c r="X50" s="173"/>
    </row>
    <row r="51" spans="1:24" s="66" customFormat="1">
      <c r="A51" s="113" t="str">
        <f>'P&amp;L by Week Actual (Notated)'!A51</f>
        <v xml:space="preserve">      6-1190 Franchise Taxes</v>
      </c>
      <c r="B51" s="114">
        <v>0</v>
      </c>
      <c r="C51" s="114">
        <v>0</v>
      </c>
      <c r="D51" s="114">
        <v>0</v>
      </c>
      <c r="E51" s="114">
        <v>0</v>
      </c>
      <c r="F51" s="114">
        <v>0</v>
      </c>
      <c r="G51" s="114">
        <v>0</v>
      </c>
      <c r="H51" s="114">
        <v>0</v>
      </c>
      <c r="I51" s="114">
        <v>0</v>
      </c>
      <c r="J51" s="114">
        <v>0</v>
      </c>
      <c r="K51" s="114">
        <v>0</v>
      </c>
      <c r="L51" s="114">
        <v>0</v>
      </c>
      <c r="M51" s="114">
        <v>0</v>
      </c>
      <c r="N51" s="114">
        <v>0</v>
      </c>
      <c r="O51" s="114">
        <v>0</v>
      </c>
    </row>
    <row r="52" spans="1:24" s="66" customFormat="1">
      <c r="A52" s="130" t="str">
        <f>'P&amp;L by Week Actual (Notated)'!A52</f>
        <v xml:space="preserve">      6-1200 Travel Expense</v>
      </c>
      <c r="B52" s="131"/>
      <c r="C52" s="131"/>
      <c r="D52" s="131"/>
      <c r="E52" s="131"/>
      <c r="F52" s="131"/>
      <c r="G52" s="131"/>
      <c r="H52" s="131"/>
      <c r="I52" s="131"/>
      <c r="J52" s="131"/>
      <c r="K52" s="131"/>
      <c r="L52" s="131"/>
      <c r="M52" s="131"/>
      <c r="N52" s="131"/>
      <c r="O52" s="131"/>
      <c r="P52" s="132"/>
      <c r="Q52" s="132"/>
      <c r="R52" s="132"/>
      <c r="S52" s="132"/>
      <c r="T52" s="132"/>
      <c r="U52" s="132"/>
      <c r="V52" s="132"/>
      <c r="W52" s="132"/>
      <c r="X52" s="132"/>
    </row>
    <row r="53" spans="1:24" s="66" customFormat="1">
      <c r="A53" s="130" t="str">
        <f>'P&amp;L by Week Actual (Notated)'!A53</f>
        <v xml:space="preserve">         6-1201 Taxi</v>
      </c>
      <c r="B53" s="131"/>
      <c r="C53" s="131"/>
      <c r="D53" s="131"/>
      <c r="E53" s="131"/>
      <c r="F53" s="131"/>
      <c r="G53" s="131"/>
      <c r="H53" s="131"/>
      <c r="I53" s="131"/>
      <c r="J53" s="131"/>
      <c r="K53" s="131"/>
      <c r="L53" s="131"/>
      <c r="M53" s="131"/>
      <c r="N53" s="131"/>
      <c r="O53" s="131"/>
      <c r="P53" s="174" t="s">
        <v>239</v>
      </c>
      <c r="Q53" s="174"/>
      <c r="R53" s="174"/>
      <c r="S53" s="174"/>
      <c r="T53" s="174"/>
      <c r="U53" s="174"/>
      <c r="V53" s="174"/>
      <c r="W53" s="174"/>
      <c r="X53" s="174"/>
    </row>
    <row r="54" spans="1:24" s="66" customFormat="1">
      <c r="A54" s="130" t="str">
        <f>'P&amp;L by Week Actual (Notated)'!A54</f>
        <v xml:space="preserve">         6-1202 Airfare</v>
      </c>
      <c r="B54" s="131"/>
      <c r="C54" s="131"/>
      <c r="D54" s="131"/>
      <c r="E54" s="131"/>
      <c r="F54" s="131"/>
      <c r="G54" s="131"/>
      <c r="H54" s="131"/>
      <c r="I54" s="131"/>
      <c r="J54" s="131"/>
      <c r="K54" s="131"/>
      <c r="L54" s="131"/>
      <c r="M54" s="131"/>
      <c r="N54" s="131"/>
      <c r="O54" s="131"/>
      <c r="P54" s="174"/>
      <c r="Q54" s="174"/>
      <c r="R54" s="174"/>
      <c r="S54" s="174"/>
      <c r="T54" s="174"/>
      <c r="U54" s="174"/>
      <c r="V54" s="174"/>
      <c r="W54" s="174"/>
      <c r="X54" s="174"/>
    </row>
    <row r="55" spans="1:24" s="66" customFormat="1">
      <c r="A55" s="130" t="str">
        <f>'P&amp;L by Week Actual (Notated)'!A55</f>
        <v xml:space="preserve">         6-1203 Hotel</v>
      </c>
      <c r="B55" s="131"/>
      <c r="C55" s="131"/>
      <c r="D55" s="131"/>
      <c r="E55" s="131"/>
      <c r="F55" s="131"/>
      <c r="G55" s="131"/>
      <c r="H55" s="131"/>
      <c r="I55" s="131"/>
      <c r="J55" s="131"/>
      <c r="K55" s="131"/>
      <c r="L55" s="131"/>
      <c r="M55" s="131"/>
      <c r="N55" s="131"/>
      <c r="O55" s="131"/>
      <c r="P55" s="174"/>
      <c r="Q55" s="174"/>
      <c r="R55" s="174"/>
      <c r="S55" s="174"/>
      <c r="T55" s="174"/>
      <c r="U55" s="174"/>
      <c r="V55" s="174"/>
      <c r="W55" s="174"/>
      <c r="X55" s="174"/>
    </row>
    <row r="56" spans="1:24" s="66" customFormat="1">
      <c r="A56" s="130" t="str">
        <f>'P&amp;L by Week Actual (Notated)'!A56</f>
        <v xml:space="preserve">         6-1204 Meals</v>
      </c>
      <c r="B56" s="131"/>
      <c r="C56" s="131"/>
      <c r="D56" s="131"/>
      <c r="E56" s="131"/>
      <c r="F56" s="131"/>
      <c r="G56" s="131"/>
      <c r="H56" s="131"/>
      <c r="I56" s="131"/>
      <c r="J56" s="131"/>
      <c r="K56" s="131"/>
      <c r="L56" s="131"/>
      <c r="M56" s="131"/>
      <c r="N56" s="131"/>
      <c r="O56" s="131"/>
      <c r="P56" s="174"/>
      <c r="Q56" s="174"/>
      <c r="R56" s="174"/>
      <c r="S56" s="174"/>
      <c r="T56" s="174"/>
      <c r="U56" s="174"/>
      <c r="V56" s="174"/>
      <c r="W56" s="174"/>
      <c r="X56" s="174"/>
    </row>
    <row r="57" spans="1:24" s="66" customFormat="1">
      <c r="A57" s="130" t="str">
        <f>'P&amp;L by Week Actual (Notated)'!A57</f>
        <v xml:space="preserve">         6-1206 Rental Car</v>
      </c>
      <c r="B57" s="131"/>
      <c r="C57" s="131"/>
      <c r="D57" s="131"/>
      <c r="E57" s="131"/>
      <c r="F57" s="131"/>
      <c r="G57" s="131"/>
      <c r="H57" s="131"/>
      <c r="I57" s="131"/>
      <c r="J57" s="131"/>
      <c r="K57" s="131"/>
      <c r="L57" s="131"/>
      <c r="M57" s="131"/>
      <c r="N57" s="131"/>
      <c r="O57" s="131"/>
      <c r="P57" s="174"/>
      <c r="Q57" s="174"/>
      <c r="R57" s="174"/>
      <c r="S57" s="174"/>
      <c r="T57" s="174"/>
      <c r="U57" s="174"/>
      <c r="V57" s="174"/>
      <c r="W57" s="174"/>
      <c r="X57" s="174"/>
    </row>
    <row r="58" spans="1:24" s="66" customFormat="1">
      <c r="A58" s="130" t="str">
        <f>'P&amp;L by Week Actual (Notated)'!A58</f>
        <v xml:space="preserve">         6-1207 Other Transportation</v>
      </c>
      <c r="B58" s="131"/>
      <c r="C58" s="131"/>
      <c r="D58" s="131"/>
      <c r="E58" s="131"/>
      <c r="F58" s="131"/>
      <c r="G58" s="131"/>
      <c r="H58" s="131"/>
      <c r="I58" s="131"/>
      <c r="J58" s="131"/>
      <c r="K58" s="131"/>
      <c r="L58" s="131"/>
      <c r="M58" s="131"/>
      <c r="N58" s="131"/>
      <c r="O58" s="131"/>
      <c r="P58" s="174"/>
      <c r="Q58" s="174"/>
      <c r="R58" s="174"/>
      <c r="S58" s="174"/>
      <c r="T58" s="174"/>
      <c r="U58" s="174"/>
      <c r="V58" s="174"/>
      <c r="W58" s="174"/>
      <c r="X58" s="174"/>
    </row>
    <row r="59" spans="1:24" s="66" customFormat="1">
      <c r="A59" s="130" t="s">
        <v>112</v>
      </c>
      <c r="B59" s="133">
        <f t="shared" ref="B59:O59" si="6">((((((B52)+(B53))+(B54))+(B55))+(B56))+(B57))+(B58)</f>
        <v>0</v>
      </c>
      <c r="C59" s="133">
        <f t="shared" si="6"/>
        <v>0</v>
      </c>
      <c r="D59" s="133">
        <f t="shared" si="6"/>
        <v>0</v>
      </c>
      <c r="E59" s="133">
        <f t="shared" si="6"/>
        <v>0</v>
      </c>
      <c r="F59" s="133">
        <f t="shared" si="6"/>
        <v>0</v>
      </c>
      <c r="G59" s="133">
        <f t="shared" si="6"/>
        <v>0</v>
      </c>
      <c r="H59" s="133">
        <f t="shared" si="6"/>
        <v>0</v>
      </c>
      <c r="I59" s="133">
        <f t="shared" si="6"/>
        <v>0</v>
      </c>
      <c r="J59" s="133">
        <f t="shared" si="6"/>
        <v>0</v>
      </c>
      <c r="K59" s="133">
        <f t="shared" si="6"/>
        <v>0</v>
      </c>
      <c r="L59" s="133">
        <f t="shared" si="6"/>
        <v>0</v>
      </c>
      <c r="M59" s="133">
        <f t="shared" si="6"/>
        <v>0</v>
      </c>
      <c r="N59" s="133">
        <f t="shared" si="6"/>
        <v>0</v>
      </c>
      <c r="O59" s="133">
        <f t="shared" si="6"/>
        <v>0</v>
      </c>
      <c r="P59" s="132"/>
      <c r="Q59" s="132"/>
      <c r="R59" s="132"/>
      <c r="S59" s="132"/>
      <c r="T59" s="132"/>
      <c r="U59" s="132"/>
      <c r="V59" s="132"/>
      <c r="W59" s="132"/>
      <c r="X59" s="132"/>
    </row>
    <row r="60" spans="1:24" s="66" customFormat="1">
      <c r="A60" s="113" t="s">
        <v>137</v>
      </c>
      <c r="B60" s="114"/>
      <c r="C60" s="114"/>
      <c r="D60" s="114"/>
      <c r="E60" s="114"/>
      <c r="F60" s="114"/>
      <c r="G60" s="115"/>
      <c r="H60" s="114"/>
      <c r="I60" s="114"/>
      <c r="J60" s="114"/>
      <c r="K60" s="115"/>
      <c r="L60" s="114"/>
      <c r="M60" s="114"/>
      <c r="N60" s="114"/>
      <c r="O60" s="115"/>
    </row>
    <row r="61" spans="1:24" s="66" customFormat="1">
      <c r="A61" s="113" t="s">
        <v>113</v>
      </c>
      <c r="B61" s="116">
        <f>((((((((((((((((((B30)))+(B31))+(B32))+(B36))+(B37))+(B38))+(B43))+(B44))+(B45))+(B46))+(B47))+(B48))+(B49))+(B50))+(B51))+(B59))+(B60)</f>
        <v>830</v>
      </c>
      <c r="C61" s="116">
        <f t="shared" ref="C61:O61" si="7">((((((((((((((((((C30)))+(C31))+(C32))+(C36))+(C37))+(C38))+(C43))+(C44))+(C45))+(C46))+(C47))+(C48))+(C49))+(C50))+(C51))+(C59))+(C60)</f>
        <v>4321</v>
      </c>
      <c r="D61" s="116">
        <f t="shared" si="7"/>
        <v>620</v>
      </c>
      <c r="E61" s="116">
        <f t="shared" si="7"/>
        <v>3930</v>
      </c>
      <c r="F61" s="116">
        <f t="shared" si="7"/>
        <v>720</v>
      </c>
      <c r="G61" s="116">
        <f t="shared" si="7"/>
        <v>4455.88</v>
      </c>
      <c r="H61" s="116">
        <f t="shared" si="7"/>
        <v>545</v>
      </c>
      <c r="I61" s="116">
        <f t="shared" si="7"/>
        <v>3680</v>
      </c>
      <c r="J61" s="116">
        <f t="shared" si="7"/>
        <v>720</v>
      </c>
      <c r="K61" s="116">
        <f t="shared" si="7"/>
        <v>4286</v>
      </c>
      <c r="L61" s="116">
        <f t="shared" si="7"/>
        <v>880.55</v>
      </c>
      <c r="M61" s="116">
        <f t="shared" si="7"/>
        <v>2930</v>
      </c>
      <c r="N61" s="116">
        <f t="shared" si="7"/>
        <v>1470</v>
      </c>
      <c r="O61" s="116">
        <f t="shared" si="7"/>
        <v>4286</v>
      </c>
    </row>
    <row r="62" spans="1:24" s="66" customFormat="1">
      <c r="A62" s="113" t="s">
        <v>114</v>
      </c>
      <c r="B62" s="114"/>
      <c r="C62" s="114"/>
      <c r="D62" s="114"/>
      <c r="E62" s="114"/>
      <c r="F62" s="114"/>
      <c r="G62" s="114"/>
      <c r="H62" s="114"/>
      <c r="I62" s="114"/>
      <c r="J62" s="114"/>
      <c r="K62" s="114"/>
      <c r="L62" s="114"/>
      <c r="M62" s="114"/>
      <c r="N62" s="114"/>
      <c r="O62" s="114"/>
    </row>
    <row r="63" spans="1:24" s="66" customFormat="1">
      <c r="A63" s="113" t="str">
        <f>'P&amp;L by Week Actual (Notated)'!A63</f>
        <v xml:space="preserve">      6-4010 Platform Development</v>
      </c>
      <c r="B63" s="114">
        <v>525</v>
      </c>
      <c r="C63" s="114">
        <v>0</v>
      </c>
      <c r="D63" s="114">
        <v>100</v>
      </c>
      <c r="E63" s="114">
        <v>525</v>
      </c>
      <c r="F63" s="114">
        <v>525</v>
      </c>
      <c r="G63" s="114">
        <v>0</v>
      </c>
      <c r="H63" s="114">
        <v>100</v>
      </c>
      <c r="I63" s="114">
        <v>525</v>
      </c>
      <c r="J63" s="114">
        <v>525</v>
      </c>
      <c r="K63" s="114">
        <v>0</v>
      </c>
      <c r="L63" s="114">
        <v>100</v>
      </c>
      <c r="M63" s="114">
        <v>525</v>
      </c>
      <c r="N63" s="114">
        <v>525</v>
      </c>
      <c r="O63" s="114">
        <v>0</v>
      </c>
    </row>
    <row r="64" spans="1:24" s="66" customFormat="1">
      <c r="A64" s="113" t="str">
        <f>'P&amp;L by Week Actual (Notated)'!A64</f>
        <v xml:space="preserve">         6-4011 Platform Contractors</v>
      </c>
      <c r="B64" s="114">
        <v>0</v>
      </c>
      <c r="C64" s="114">
        <v>12250</v>
      </c>
      <c r="D64" s="114">
        <v>0</v>
      </c>
      <c r="E64" s="114">
        <v>0</v>
      </c>
      <c r="F64" s="114">
        <v>0</v>
      </c>
      <c r="G64" s="114">
        <v>12250</v>
      </c>
      <c r="H64" s="114">
        <v>0</v>
      </c>
      <c r="I64" s="114">
        <v>0</v>
      </c>
      <c r="J64" s="114">
        <v>0</v>
      </c>
      <c r="K64" s="114">
        <v>12250</v>
      </c>
      <c r="L64" s="114">
        <v>0</v>
      </c>
      <c r="M64" s="114">
        <v>0</v>
      </c>
      <c r="N64" s="114">
        <v>0</v>
      </c>
      <c r="O64" s="114">
        <v>12250</v>
      </c>
    </row>
    <row r="65" spans="1:24" s="66" customFormat="1">
      <c r="A65" s="113" t="s">
        <v>117</v>
      </c>
      <c r="B65" s="116">
        <f t="shared" ref="B65:O65" si="8">(B63)+(B64)</f>
        <v>525</v>
      </c>
      <c r="C65" s="116">
        <f t="shared" si="8"/>
        <v>12250</v>
      </c>
      <c r="D65" s="116">
        <f t="shared" si="8"/>
        <v>100</v>
      </c>
      <c r="E65" s="116">
        <f t="shared" si="8"/>
        <v>525</v>
      </c>
      <c r="F65" s="116">
        <f t="shared" si="8"/>
        <v>525</v>
      </c>
      <c r="G65" s="116">
        <f t="shared" si="8"/>
        <v>12250</v>
      </c>
      <c r="H65" s="116">
        <f t="shared" si="8"/>
        <v>100</v>
      </c>
      <c r="I65" s="116">
        <f t="shared" si="8"/>
        <v>525</v>
      </c>
      <c r="J65" s="116">
        <f t="shared" si="8"/>
        <v>525</v>
      </c>
      <c r="K65" s="116">
        <f t="shared" si="8"/>
        <v>12250</v>
      </c>
      <c r="L65" s="116">
        <f t="shared" si="8"/>
        <v>100</v>
      </c>
      <c r="M65" s="116">
        <f t="shared" si="8"/>
        <v>525</v>
      </c>
      <c r="N65" s="116">
        <f t="shared" si="8"/>
        <v>525</v>
      </c>
      <c r="O65" s="116">
        <f t="shared" si="8"/>
        <v>12250</v>
      </c>
    </row>
    <row r="66" spans="1:24" s="66" customFormat="1">
      <c r="A66" s="113" t="s">
        <v>118</v>
      </c>
      <c r="B66" s="116">
        <f t="shared" ref="B66:O66" si="9">(B62)+(B65)</f>
        <v>525</v>
      </c>
      <c r="C66" s="116">
        <f t="shared" si="9"/>
        <v>12250</v>
      </c>
      <c r="D66" s="116">
        <f t="shared" si="9"/>
        <v>100</v>
      </c>
      <c r="E66" s="116">
        <f t="shared" si="9"/>
        <v>525</v>
      </c>
      <c r="F66" s="116">
        <f t="shared" si="9"/>
        <v>525</v>
      </c>
      <c r="G66" s="116">
        <f t="shared" si="9"/>
        <v>12250</v>
      </c>
      <c r="H66" s="116">
        <f t="shared" si="9"/>
        <v>100</v>
      </c>
      <c r="I66" s="116">
        <f t="shared" si="9"/>
        <v>525</v>
      </c>
      <c r="J66" s="116">
        <f t="shared" si="9"/>
        <v>525</v>
      </c>
      <c r="K66" s="116">
        <f t="shared" si="9"/>
        <v>12250</v>
      </c>
      <c r="L66" s="116">
        <f t="shared" si="9"/>
        <v>100</v>
      </c>
      <c r="M66" s="116">
        <f t="shared" si="9"/>
        <v>525</v>
      </c>
      <c r="N66" s="116">
        <f t="shared" si="9"/>
        <v>525</v>
      </c>
      <c r="O66" s="116">
        <f t="shared" si="9"/>
        <v>12250</v>
      </c>
    </row>
    <row r="67" spans="1:24" s="66" customFormat="1">
      <c r="A67" s="130" t="s">
        <v>119</v>
      </c>
      <c r="B67" s="131"/>
      <c r="C67" s="131"/>
      <c r="D67" s="131"/>
      <c r="E67" s="131"/>
      <c r="F67" s="131"/>
      <c r="G67" s="131"/>
      <c r="H67" s="131"/>
      <c r="I67" s="131"/>
      <c r="J67" s="131"/>
      <c r="K67" s="131"/>
      <c r="L67" s="131"/>
      <c r="M67" s="131"/>
      <c r="N67" s="131"/>
      <c r="O67" s="131"/>
    </row>
    <row r="68" spans="1:24" s="66" customFormat="1">
      <c r="A68" s="130" t="str">
        <f>'P&amp;L by Week Actual (Notated)'!A68</f>
        <v xml:space="preserve">      6-6010 Salaries and Wages</v>
      </c>
      <c r="B68" s="131"/>
      <c r="C68" s="131"/>
      <c r="D68" s="131"/>
      <c r="E68" s="131"/>
      <c r="F68" s="131"/>
      <c r="G68" s="131"/>
      <c r="H68" s="131"/>
      <c r="I68" s="131"/>
      <c r="J68" s="131"/>
      <c r="K68" s="131"/>
      <c r="L68" s="131"/>
      <c r="M68" s="131"/>
      <c r="N68" s="131"/>
      <c r="O68" s="131"/>
      <c r="P68" s="174" t="s">
        <v>239</v>
      </c>
      <c r="Q68" s="174"/>
      <c r="R68" s="174"/>
      <c r="S68" s="174"/>
      <c r="T68" s="174"/>
      <c r="U68" s="174"/>
      <c r="V68" s="174"/>
      <c r="W68" s="174"/>
      <c r="X68" s="174"/>
    </row>
    <row r="69" spans="1:24" s="66" customFormat="1">
      <c r="A69" s="130" t="str">
        <f>'P&amp;L by Week Actual (Notated)'!A69</f>
        <v xml:space="preserve">      6-6040 Federal 941 Taxes</v>
      </c>
      <c r="B69" s="131"/>
      <c r="C69" s="131"/>
      <c r="D69" s="131"/>
      <c r="E69" s="131"/>
      <c r="F69" s="131"/>
      <c r="G69" s="131"/>
      <c r="H69" s="131"/>
      <c r="I69" s="131"/>
      <c r="J69" s="131"/>
      <c r="K69" s="131"/>
      <c r="L69" s="131"/>
      <c r="M69" s="131"/>
      <c r="N69" s="131"/>
      <c r="O69" s="131"/>
      <c r="P69" s="174"/>
      <c r="Q69" s="174"/>
      <c r="R69" s="174"/>
      <c r="S69" s="174"/>
      <c r="T69" s="174"/>
      <c r="U69" s="174"/>
      <c r="V69" s="174"/>
      <c r="W69" s="174"/>
      <c r="X69" s="174"/>
    </row>
    <row r="70" spans="1:24" s="66" customFormat="1">
      <c r="A70" s="130" t="str">
        <f>'P&amp;L by Week Actual (Notated)'!A70</f>
        <v xml:space="preserve">      6-6041 State Taxes</v>
      </c>
      <c r="B70" s="131"/>
      <c r="C70" s="131"/>
      <c r="D70" s="131"/>
      <c r="E70" s="131"/>
      <c r="F70" s="131"/>
      <c r="G70" s="131"/>
      <c r="H70" s="131"/>
      <c r="I70" s="131"/>
      <c r="J70" s="131"/>
      <c r="K70" s="131"/>
      <c r="L70" s="131"/>
      <c r="M70" s="131"/>
      <c r="N70" s="131"/>
      <c r="O70" s="131"/>
      <c r="P70" s="174"/>
      <c r="Q70" s="174"/>
      <c r="R70" s="174"/>
      <c r="S70" s="174"/>
      <c r="T70" s="174"/>
      <c r="U70" s="174"/>
      <c r="V70" s="174"/>
      <c r="W70" s="174"/>
      <c r="X70" s="174"/>
    </row>
    <row r="71" spans="1:24" s="66" customFormat="1">
      <c r="A71" s="130" t="str">
        <f>'P&amp;L by Week Actual (Notated)'!A71</f>
        <v xml:space="preserve">      6-6070 Employee Benefits</v>
      </c>
      <c r="B71" s="131"/>
      <c r="C71" s="131"/>
      <c r="D71" s="131"/>
      <c r="E71" s="131"/>
      <c r="F71" s="131"/>
      <c r="G71" s="131"/>
      <c r="H71" s="131"/>
      <c r="I71" s="131"/>
      <c r="J71" s="131"/>
      <c r="K71" s="131"/>
      <c r="L71" s="131"/>
      <c r="M71" s="131"/>
      <c r="N71" s="131"/>
      <c r="O71" s="131"/>
      <c r="P71" s="174"/>
      <c r="Q71" s="174"/>
      <c r="R71" s="174"/>
      <c r="S71" s="174"/>
      <c r="T71" s="174"/>
      <c r="U71" s="174"/>
      <c r="V71" s="174"/>
      <c r="W71" s="174"/>
      <c r="X71" s="174"/>
    </row>
    <row r="72" spans="1:24" s="66" customFormat="1">
      <c r="A72" s="130" t="str">
        <f>'P&amp;L by Week Actual (Notated)'!A72</f>
        <v xml:space="preserve">      6-6080 Worker's Compensation</v>
      </c>
      <c r="B72" s="131">
        <f>-0.01*'Cash Flow by Week'!E32</f>
        <v>310.75</v>
      </c>
      <c r="C72" s="131">
        <f>-0.01*'Cash Flow by Week'!F32</f>
        <v>0</v>
      </c>
      <c r="D72" s="131">
        <f>-0.01*'Cash Flow by Week'!G32</f>
        <v>310.75</v>
      </c>
      <c r="E72" s="131">
        <f>-0.01*'Cash Flow by Week'!H32</f>
        <v>0</v>
      </c>
      <c r="F72" s="131">
        <f>-0.01*'Cash Flow by Week'!I32</f>
        <v>346.0625</v>
      </c>
      <c r="G72" s="131">
        <f>-0.01*'Cash Flow by Week'!J32</f>
        <v>0</v>
      </c>
      <c r="H72" s="131">
        <f>-0.01*'Cash Flow by Week'!K32</f>
        <v>346.0625</v>
      </c>
      <c r="I72" s="131">
        <f>-0.01*'Cash Flow by Week'!L32</f>
        <v>0</v>
      </c>
      <c r="J72" s="131">
        <f>-0.01*'Cash Flow by Week'!M32</f>
        <v>0</v>
      </c>
      <c r="K72" s="131">
        <f>-0.01*'Cash Flow by Week'!N32</f>
        <v>421.39583333333331</v>
      </c>
      <c r="L72" s="131">
        <f>-0.01*'Cash Flow by Week'!O32</f>
        <v>0</v>
      </c>
      <c r="M72" s="131">
        <f>-0.01*'Cash Flow by Week'!P32</f>
        <v>421.39583333333331</v>
      </c>
      <c r="N72" s="131">
        <f>-0.01*'Cash Flow by Week'!Q32</f>
        <v>0</v>
      </c>
      <c r="O72" s="131">
        <f>-0.01*'Cash Flow by Week'!R32</f>
        <v>437.875</v>
      </c>
      <c r="P72" s="174"/>
      <c r="Q72" s="174"/>
      <c r="R72" s="174"/>
      <c r="S72" s="174"/>
      <c r="T72" s="174"/>
      <c r="U72" s="174"/>
      <c r="V72" s="174"/>
      <c r="W72" s="174"/>
      <c r="X72" s="174"/>
    </row>
    <row r="73" spans="1:24" s="66" customFormat="1">
      <c r="A73" s="130" t="str">
        <f>'P&amp;L by Week Actual (Notated)'!A73</f>
        <v xml:space="preserve">      6-6090 Payroll Processing</v>
      </c>
      <c r="B73" s="131"/>
      <c r="C73" s="131"/>
      <c r="D73" s="131"/>
      <c r="E73" s="131"/>
      <c r="F73" s="131"/>
      <c r="G73" s="131"/>
      <c r="H73" s="131"/>
      <c r="I73" s="131"/>
      <c r="J73" s="131"/>
      <c r="K73" s="131"/>
      <c r="L73" s="131"/>
      <c r="M73" s="131"/>
      <c r="N73" s="131"/>
      <c r="O73" s="131"/>
      <c r="P73" s="174"/>
      <c r="Q73" s="174"/>
      <c r="R73" s="174"/>
      <c r="S73" s="174"/>
      <c r="T73" s="174"/>
      <c r="U73" s="174"/>
      <c r="V73" s="174"/>
      <c r="W73" s="174"/>
      <c r="X73" s="174"/>
    </row>
    <row r="74" spans="1:24" s="66" customFormat="1">
      <c r="A74" s="130" t="str">
        <f>'P&amp;L by Week Actual (Notated)'!A74</f>
        <v xml:space="preserve">   Total 6-6000 Payroll Expenses</v>
      </c>
      <c r="B74" s="133">
        <f>'P&amp;L by Week Actual (Notated)'!B74</f>
        <v>17736.5</v>
      </c>
      <c r="C74" s="133">
        <f>'P&amp;L by Week Actual (Notated)'!C74</f>
        <v>28193.87</v>
      </c>
      <c r="D74" s="133">
        <f>'P&amp;L by Week Actual (Notated)'!D74</f>
        <v>5091.25</v>
      </c>
      <c r="E74" s="133">
        <f>'P&amp;L by Week Actual (Notated)'!E74</f>
        <v>0</v>
      </c>
      <c r="F74" s="133">
        <f>'P&amp;L by Week Actual (Notated)'!F74</f>
        <v>21582.17</v>
      </c>
      <c r="G74" s="133">
        <f>'P&amp;L by Week Actual (Notated)'!G74</f>
        <v>172.37</v>
      </c>
      <c r="H74" s="133">
        <f>'P&amp;L by Week Actual (Notated)'!H74</f>
        <v>28193.87</v>
      </c>
      <c r="I74" s="133">
        <f>'P&amp;L by Week Actual (Notated)'!I74</f>
        <v>5000</v>
      </c>
      <c r="J74" s="133">
        <f>'P&amp;L by Week Actual (Notated)'!J74</f>
        <v>33307.85</v>
      </c>
      <c r="K74" s="133">
        <f>'P&amp;L by Week Actual (Notated)'!K74</f>
        <v>-11595.66</v>
      </c>
      <c r="L74" s="133">
        <f>'P&amp;L by Week Actual (Notated)'!L74</f>
        <v>5000</v>
      </c>
      <c r="M74" s="133">
        <f>'P&amp;L by Week Actual (Notated)'!M74</f>
        <v>28193.859999999997</v>
      </c>
      <c r="N74" s="133">
        <f>'P&amp;L by Week Actual (Notated)'!N74</f>
        <v>172.37</v>
      </c>
      <c r="O74" s="133">
        <f>'P&amp;L by Week Actual (Notated)'!O74</f>
        <v>21511.199999999997</v>
      </c>
    </row>
    <row r="75" spans="1:24" s="66" customFormat="1">
      <c r="A75" s="113" t="s">
        <v>7</v>
      </c>
      <c r="B75" s="114"/>
      <c r="C75" s="114"/>
      <c r="D75" s="114"/>
      <c r="E75" s="114"/>
      <c r="F75" s="114"/>
      <c r="G75" s="114"/>
      <c r="H75" s="114"/>
      <c r="I75" s="115"/>
      <c r="J75" s="114"/>
      <c r="K75" s="114"/>
      <c r="L75" s="114"/>
      <c r="M75" s="114"/>
      <c r="N75" s="115"/>
      <c r="O75" s="114"/>
    </row>
    <row r="76" spans="1:24" s="66" customFormat="1">
      <c r="A76" s="113" t="s">
        <v>8</v>
      </c>
      <c r="B76" s="116">
        <f>(((B61)+(B66))+(B74))+(B75)</f>
        <v>19091.5</v>
      </c>
      <c r="C76" s="116">
        <f t="shared" ref="C76:O76" si="10">(((C61)+(C66))+(C74))+(C75)</f>
        <v>44764.869999999995</v>
      </c>
      <c r="D76" s="116">
        <f t="shared" si="10"/>
        <v>5811.25</v>
      </c>
      <c r="E76" s="116">
        <f t="shared" si="10"/>
        <v>4455</v>
      </c>
      <c r="F76" s="116">
        <f t="shared" si="10"/>
        <v>22827.17</v>
      </c>
      <c r="G76" s="116">
        <f t="shared" si="10"/>
        <v>16878.25</v>
      </c>
      <c r="H76" s="116">
        <f t="shared" si="10"/>
        <v>28838.87</v>
      </c>
      <c r="I76" s="116">
        <f t="shared" si="10"/>
        <v>9205</v>
      </c>
      <c r="J76" s="116">
        <f t="shared" si="10"/>
        <v>34552.85</v>
      </c>
      <c r="K76" s="116">
        <f t="shared" si="10"/>
        <v>4940.34</v>
      </c>
      <c r="L76" s="116">
        <f t="shared" si="10"/>
        <v>5980.55</v>
      </c>
      <c r="M76" s="116">
        <f t="shared" si="10"/>
        <v>31648.859999999997</v>
      </c>
      <c r="N76" s="116">
        <f t="shared" si="10"/>
        <v>2167.37</v>
      </c>
      <c r="O76" s="116">
        <f t="shared" si="10"/>
        <v>38047.199999999997</v>
      </c>
    </row>
    <row r="77" spans="1:24" s="66" customFormat="1">
      <c r="A77" s="113" t="s">
        <v>9</v>
      </c>
      <c r="B77" s="116">
        <f t="shared" ref="B77:O77" si="11">(B28)-(B76)</f>
        <v>-19091.5</v>
      </c>
      <c r="C77" s="116">
        <f t="shared" si="11"/>
        <v>-44764.869999999995</v>
      </c>
      <c r="D77" s="116">
        <f t="shared" si="11"/>
        <v>-5811.25</v>
      </c>
      <c r="E77" s="116">
        <f t="shared" si="11"/>
        <v>-4455</v>
      </c>
      <c r="F77" s="116">
        <f t="shared" si="11"/>
        <v>-22827.17</v>
      </c>
      <c r="G77" s="116">
        <f t="shared" si="11"/>
        <v>-16878.25</v>
      </c>
      <c r="H77" s="116">
        <f t="shared" si="11"/>
        <v>-28838.87</v>
      </c>
      <c r="I77" s="116">
        <f t="shared" si="11"/>
        <v>-9205</v>
      </c>
      <c r="J77" s="116">
        <f t="shared" si="11"/>
        <v>-34552.85</v>
      </c>
      <c r="K77" s="116">
        <f t="shared" si="11"/>
        <v>-4940.34</v>
      </c>
      <c r="L77" s="116">
        <f t="shared" si="11"/>
        <v>-5980.55</v>
      </c>
      <c r="M77" s="116">
        <f t="shared" si="11"/>
        <v>-31648.859999999997</v>
      </c>
      <c r="N77" s="116">
        <f t="shared" si="11"/>
        <v>-2167.37</v>
      </c>
      <c r="O77" s="116">
        <f t="shared" si="11"/>
        <v>-38047.199999999997</v>
      </c>
    </row>
    <row r="78" spans="1:24" s="66" customFormat="1">
      <c r="A78" s="113" t="s">
        <v>10</v>
      </c>
      <c r="B78" s="114"/>
      <c r="C78" s="114"/>
      <c r="D78" s="114"/>
      <c r="E78" s="114"/>
      <c r="F78" s="114"/>
      <c r="G78" s="114"/>
      <c r="H78" s="114"/>
      <c r="I78" s="114"/>
      <c r="J78" s="114"/>
      <c r="K78" s="114"/>
      <c r="L78" s="114"/>
      <c r="M78" s="114"/>
      <c r="N78" s="114"/>
      <c r="O78" s="114"/>
    </row>
    <row r="79" spans="1:24" s="66" customFormat="1">
      <c r="A79" s="113" t="s">
        <v>81</v>
      </c>
      <c r="B79" s="114"/>
      <c r="C79" s="114"/>
      <c r="D79" s="114"/>
      <c r="E79" s="114"/>
      <c r="F79" s="114"/>
      <c r="G79" s="115"/>
      <c r="H79" s="114"/>
      <c r="I79" s="114"/>
      <c r="J79" s="114"/>
      <c r="K79" s="115"/>
      <c r="L79" s="114"/>
      <c r="M79" s="114"/>
      <c r="N79" s="114"/>
      <c r="O79" s="115"/>
    </row>
    <row r="80" spans="1:24" s="66" customFormat="1">
      <c r="A80" s="113" t="s">
        <v>82</v>
      </c>
      <c r="B80" s="114"/>
      <c r="C80" s="114"/>
      <c r="D80" s="115"/>
      <c r="E80" s="114"/>
      <c r="F80" s="114"/>
      <c r="G80" s="115"/>
      <c r="H80" s="115"/>
      <c r="I80" s="115"/>
      <c r="J80" s="114"/>
      <c r="K80" s="115"/>
      <c r="L80" s="115"/>
      <c r="M80" s="115"/>
      <c r="N80" s="115"/>
      <c r="O80" s="115"/>
    </row>
    <row r="81" spans="1:15" s="66" customFormat="1">
      <c r="A81" s="113" t="s">
        <v>11</v>
      </c>
      <c r="B81" s="116">
        <f t="shared" ref="B81:O81" si="12">(B79)+(B80)</f>
        <v>0</v>
      </c>
      <c r="C81" s="116">
        <f t="shared" si="12"/>
        <v>0</v>
      </c>
      <c r="D81" s="116">
        <f t="shared" si="12"/>
        <v>0</v>
      </c>
      <c r="E81" s="116">
        <f t="shared" si="12"/>
        <v>0</v>
      </c>
      <c r="F81" s="116">
        <f t="shared" si="12"/>
        <v>0</v>
      </c>
      <c r="G81" s="116">
        <f t="shared" si="12"/>
        <v>0</v>
      </c>
      <c r="H81" s="116">
        <f t="shared" si="12"/>
        <v>0</v>
      </c>
      <c r="I81" s="116">
        <f t="shared" si="12"/>
        <v>0</v>
      </c>
      <c r="J81" s="116">
        <f t="shared" si="12"/>
        <v>0</v>
      </c>
      <c r="K81" s="116">
        <f t="shared" si="12"/>
        <v>0</v>
      </c>
      <c r="L81" s="116">
        <f t="shared" si="12"/>
        <v>0</v>
      </c>
      <c r="M81" s="116">
        <f t="shared" si="12"/>
        <v>0</v>
      </c>
      <c r="N81" s="116">
        <f t="shared" si="12"/>
        <v>0</v>
      </c>
      <c r="O81" s="116">
        <f t="shared" si="12"/>
        <v>0</v>
      </c>
    </row>
    <row r="82" spans="1:15" s="66" customFormat="1">
      <c r="A82" s="113" t="s">
        <v>12</v>
      </c>
      <c r="B82" s="116">
        <f t="shared" ref="B82:O82" si="13">(0)-(B81)</f>
        <v>0</v>
      </c>
      <c r="C82" s="116">
        <f t="shared" si="13"/>
        <v>0</v>
      </c>
      <c r="D82" s="116">
        <f t="shared" si="13"/>
        <v>0</v>
      </c>
      <c r="E82" s="116">
        <f t="shared" si="13"/>
        <v>0</v>
      </c>
      <c r="F82" s="116">
        <f t="shared" si="13"/>
        <v>0</v>
      </c>
      <c r="G82" s="116">
        <f t="shared" si="13"/>
        <v>0</v>
      </c>
      <c r="H82" s="116">
        <f t="shared" si="13"/>
        <v>0</v>
      </c>
      <c r="I82" s="116">
        <f t="shared" si="13"/>
        <v>0</v>
      </c>
      <c r="J82" s="116">
        <f t="shared" si="13"/>
        <v>0</v>
      </c>
      <c r="K82" s="116">
        <f t="shared" si="13"/>
        <v>0</v>
      </c>
      <c r="L82" s="116">
        <f t="shared" si="13"/>
        <v>0</v>
      </c>
      <c r="M82" s="116">
        <f t="shared" si="13"/>
        <v>0</v>
      </c>
      <c r="N82" s="116">
        <f t="shared" si="13"/>
        <v>0</v>
      </c>
      <c r="O82" s="116">
        <f t="shared" si="13"/>
        <v>0</v>
      </c>
    </row>
    <row r="83" spans="1:15" s="66" customFormat="1">
      <c r="A83" s="113" t="s">
        <v>13</v>
      </c>
      <c r="B83" s="116">
        <f t="shared" ref="B83:O83" si="14">(B77)+(B82)</f>
        <v>-19091.5</v>
      </c>
      <c r="C83" s="116">
        <f t="shared" si="14"/>
        <v>-44764.869999999995</v>
      </c>
      <c r="D83" s="116">
        <f t="shared" si="14"/>
        <v>-5811.25</v>
      </c>
      <c r="E83" s="116">
        <f t="shared" si="14"/>
        <v>-4455</v>
      </c>
      <c r="F83" s="116">
        <f t="shared" si="14"/>
        <v>-22827.17</v>
      </c>
      <c r="G83" s="116">
        <f t="shared" si="14"/>
        <v>-16878.25</v>
      </c>
      <c r="H83" s="116">
        <f t="shared" si="14"/>
        <v>-28838.87</v>
      </c>
      <c r="I83" s="116">
        <f t="shared" si="14"/>
        <v>-9205</v>
      </c>
      <c r="J83" s="116">
        <f t="shared" si="14"/>
        <v>-34552.85</v>
      </c>
      <c r="K83" s="116">
        <f t="shared" si="14"/>
        <v>-4940.34</v>
      </c>
      <c r="L83" s="116">
        <f t="shared" si="14"/>
        <v>-5980.55</v>
      </c>
      <c r="M83" s="116">
        <f t="shared" si="14"/>
        <v>-31648.859999999997</v>
      </c>
      <c r="N83" s="116">
        <f t="shared" si="14"/>
        <v>-2167.37</v>
      </c>
      <c r="O83" s="116">
        <f t="shared" si="14"/>
        <v>-38047.199999999997</v>
      </c>
    </row>
    <row r="84" spans="1:15">
      <c r="A84" s="56"/>
      <c r="B84" s="3"/>
      <c r="C84" s="3"/>
      <c r="D84" s="3"/>
      <c r="E84" s="3"/>
      <c r="F84" s="3"/>
      <c r="G84" s="3"/>
      <c r="H84" s="3"/>
      <c r="I84" s="3"/>
      <c r="J84" s="3"/>
      <c r="K84" s="3"/>
      <c r="L84" s="3"/>
      <c r="M84" s="3"/>
      <c r="N84" s="3"/>
      <c r="O84" s="3"/>
    </row>
    <row r="87" spans="1:15">
      <c r="A87" s="178" t="s">
        <v>207</v>
      </c>
      <c r="B87" s="179"/>
      <c r="C87" s="179"/>
      <c r="D87" s="179"/>
      <c r="E87" s="179"/>
      <c r="F87" s="179"/>
      <c r="G87" s="179"/>
      <c r="H87" s="179"/>
      <c r="I87" s="179"/>
      <c r="J87" s="179"/>
      <c r="K87" s="179"/>
      <c r="L87" s="179"/>
      <c r="M87" s="179"/>
      <c r="N87" s="179"/>
      <c r="O87" s="179"/>
    </row>
  </sheetData>
  <mergeCells count="22">
    <mergeCell ref="A1:O1"/>
    <mergeCell ref="A2:O2"/>
    <mergeCell ref="A3:O3"/>
    <mergeCell ref="A87:O87"/>
    <mergeCell ref="P31:X31"/>
    <mergeCell ref="P32:X32"/>
    <mergeCell ref="P34:X34"/>
    <mergeCell ref="P35:X35"/>
    <mergeCell ref="P37:X37"/>
    <mergeCell ref="P38:X38"/>
    <mergeCell ref="P68:X73"/>
    <mergeCell ref="P40:X40"/>
    <mergeCell ref="P41:X41"/>
    <mergeCell ref="P42:X42"/>
    <mergeCell ref="P44:X44"/>
    <mergeCell ref="P45:X45"/>
    <mergeCell ref="P46:X46"/>
    <mergeCell ref="P47:X47"/>
    <mergeCell ref="P48:X48"/>
    <mergeCell ref="P49:X49"/>
    <mergeCell ref="P50:X50"/>
    <mergeCell ref="P53:X58"/>
  </mergeCells>
  <conditionalFormatting sqref="B31:O31">
    <cfRule type="cellIs" dxfId="7" priority="13" operator="greaterThan">
      <formula>0</formula>
    </cfRule>
  </conditionalFormatting>
  <conditionalFormatting sqref="B39:O42">
    <cfRule type="cellIs" dxfId="6" priority="9" operator="greaterThan">
      <formula>0</formula>
    </cfRule>
  </conditionalFormatting>
  <conditionalFormatting sqref="B32:O35">
    <cfRule type="cellIs" dxfId="5" priority="11" operator="greaterThan">
      <formula>0</formula>
    </cfRule>
  </conditionalFormatting>
  <conditionalFormatting sqref="B37:O37">
    <cfRule type="cellIs" dxfId="4" priority="5" operator="greaterThan">
      <formula>0</formula>
    </cfRule>
  </conditionalFormatting>
  <conditionalFormatting sqref="B38:O38">
    <cfRule type="cellIs" dxfId="3" priority="7" operator="greaterThan">
      <formula>0</formula>
    </cfRule>
  </conditionalFormatting>
  <conditionalFormatting sqref="B44:O58">
    <cfRule type="cellIs" dxfId="2" priority="3" operator="greaterThan">
      <formula>0</formula>
    </cfRule>
  </conditionalFormatting>
  <conditionalFormatting sqref="B63:O64">
    <cfRule type="cellIs" dxfId="1" priority="2" operator="greaterThan">
      <formula>0</formula>
    </cfRule>
  </conditionalFormatting>
  <conditionalFormatting sqref="B68:O73">
    <cfRule type="cellIs" dxfId="0" priority="1" operator="greater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D87"/>
  <sheetViews>
    <sheetView topLeftCell="A13" workbookViewId="0">
      <selection activeCell="D86" sqref="D86"/>
    </sheetView>
  </sheetViews>
  <sheetFormatPr baseColWidth="10" defaultColWidth="8.83203125" defaultRowHeight="15" outlineLevelRow="1"/>
  <cols>
    <col min="1" max="1" width="37.83203125" style="89" customWidth="1"/>
    <col min="2" max="2" width="9.5" style="89" customWidth="1"/>
    <col min="3" max="8" width="11.1640625" style="89" customWidth="1"/>
    <col min="9" max="9" width="10.33203125" style="89" customWidth="1"/>
    <col min="10" max="10" width="11.1640625" style="89" customWidth="1"/>
    <col min="11" max="11" width="9.5" style="89" customWidth="1"/>
    <col min="12" max="14" width="11.1640625" style="89" customWidth="1"/>
    <col min="15" max="15" width="10.33203125" style="89" customWidth="1"/>
    <col min="16" max="16" width="26.5" style="80" customWidth="1"/>
    <col min="17" max="16384" width="8.83203125" style="80"/>
  </cols>
  <sheetData>
    <row r="1" spans="1:18" ht="18">
      <c r="A1" s="184" t="s">
        <v>195</v>
      </c>
      <c r="B1" s="185"/>
      <c r="C1" s="185"/>
      <c r="D1" s="185"/>
      <c r="E1" s="185"/>
      <c r="F1" s="185"/>
      <c r="G1" s="185"/>
      <c r="H1" s="185"/>
      <c r="I1" s="185"/>
      <c r="J1" s="185"/>
      <c r="K1" s="185"/>
      <c r="L1" s="185"/>
      <c r="M1" s="185"/>
      <c r="N1" s="185"/>
      <c r="O1" s="185"/>
    </row>
    <row r="2" spans="1:18" ht="18">
      <c r="A2" s="186" t="s">
        <v>14</v>
      </c>
      <c r="B2" s="179"/>
      <c r="C2" s="179"/>
      <c r="D2" s="179"/>
      <c r="E2" s="179"/>
      <c r="F2" s="179"/>
      <c r="G2" s="179"/>
      <c r="H2" s="179"/>
      <c r="I2" s="179"/>
      <c r="J2" s="179"/>
      <c r="K2" s="179"/>
      <c r="L2" s="179"/>
      <c r="M2" s="179"/>
      <c r="N2" s="179"/>
      <c r="O2" s="179"/>
    </row>
    <row r="3" spans="1:18">
      <c r="A3" s="187" t="s">
        <v>196</v>
      </c>
      <c r="B3" s="185"/>
      <c r="C3" s="185"/>
      <c r="D3" s="185"/>
      <c r="E3" s="185"/>
      <c r="F3" s="185"/>
      <c r="G3" s="185"/>
      <c r="H3" s="185"/>
      <c r="I3" s="185"/>
      <c r="J3" s="185"/>
      <c r="K3" s="185"/>
      <c r="L3" s="185"/>
      <c r="M3" s="185"/>
      <c r="N3" s="185"/>
      <c r="O3" s="185"/>
    </row>
    <row r="4" spans="1:18" ht="53" customHeight="1">
      <c r="A4" s="193" t="s">
        <v>215</v>
      </c>
      <c r="B4" s="193"/>
      <c r="C4" s="193"/>
      <c r="D4" s="193"/>
      <c r="E4" s="193"/>
      <c r="F4" s="193"/>
      <c r="G4" s="193"/>
      <c r="H4" s="193"/>
      <c r="I4" s="193"/>
      <c r="J4" s="193"/>
      <c r="K4" s="193"/>
      <c r="L4" s="193"/>
      <c r="M4" s="193"/>
      <c r="N4" s="193"/>
      <c r="O4" s="193"/>
      <c r="P4" s="193"/>
      <c r="Q4" s="193"/>
      <c r="R4" s="193"/>
    </row>
    <row r="5" spans="1:18">
      <c r="A5" s="1"/>
      <c r="B5" s="96">
        <f t="shared" ref="B5:M5" si="0">C5-7</f>
        <v>42539</v>
      </c>
      <c r="C5" s="96">
        <f t="shared" si="0"/>
        <v>42546</v>
      </c>
      <c r="D5" s="96">
        <f t="shared" si="0"/>
        <v>42553</v>
      </c>
      <c r="E5" s="96">
        <f t="shared" si="0"/>
        <v>42560</v>
      </c>
      <c r="F5" s="96">
        <f t="shared" si="0"/>
        <v>42567</v>
      </c>
      <c r="G5" s="96">
        <f t="shared" si="0"/>
        <v>42574</v>
      </c>
      <c r="H5" s="96">
        <f t="shared" si="0"/>
        <v>42581</v>
      </c>
      <c r="I5" s="96">
        <f t="shared" si="0"/>
        <v>42588</v>
      </c>
      <c r="J5" s="96">
        <f t="shared" si="0"/>
        <v>42595</v>
      </c>
      <c r="K5" s="96">
        <f t="shared" si="0"/>
        <v>42602</v>
      </c>
      <c r="L5" s="96">
        <f t="shared" si="0"/>
        <v>42609</v>
      </c>
      <c r="M5" s="96">
        <f t="shared" si="0"/>
        <v>42616</v>
      </c>
      <c r="N5" s="96">
        <f>O5-7</f>
        <v>42623</v>
      </c>
      <c r="O5" s="96">
        <v>42630</v>
      </c>
      <c r="P5" s="59" t="s">
        <v>208</v>
      </c>
    </row>
    <row r="6" spans="1:18" outlineLevel="1">
      <c r="A6" s="104" t="s">
        <v>0</v>
      </c>
      <c r="B6" s="6"/>
      <c r="C6" s="6"/>
      <c r="D6" s="6"/>
      <c r="E6" s="6"/>
      <c r="F6" s="6"/>
      <c r="G6" s="6"/>
      <c r="H6" s="6"/>
      <c r="I6" s="6"/>
      <c r="J6" s="6"/>
      <c r="K6" s="6"/>
      <c r="L6" s="6"/>
      <c r="M6" s="6"/>
      <c r="N6" s="6"/>
      <c r="O6" s="6"/>
    </row>
    <row r="7" spans="1:18" outlineLevel="1">
      <c r="A7" s="104" t="s">
        <v>28</v>
      </c>
      <c r="B7" s="6"/>
      <c r="C7" s="6"/>
      <c r="D7" s="6"/>
      <c r="E7" s="6"/>
      <c r="F7" s="6"/>
      <c r="G7" s="6"/>
      <c r="H7" s="6"/>
      <c r="I7" s="6"/>
      <c r="J7" s="6"/>
      <c r="K7" s="6"/>
      <c r="L7" s="6"/>
      <c r="M7" s="6"/>
      <c r="N7" s="6"/>
      <c r="O7" s="6"/>
    </row>
    <row r="8" spans="1:18" outlineLevel="1">
      <c r="A8" s="104" t="s">
        <v>197</v>
      </c>
      <c r="B8" s="7"/>
      <c r="C8" s="6"/>
      <c r="D8" s="6"/>
      <c r="E8" s="6"/>
      <c r="F8" s="6"/>
      <c r="G8" s="6"/>
      <c r="H8" s="6"/>
      <c r="I8" s="6"/>
      <c r="J8" s="6"/>
      <c r="K8" s="6"/>
      <c r="L8" s="6"/>
      <c r="M8" s="6"/>
      <c r="N8" s="6"/>
      <c r="O8" s="6"/>
    </row>
    <row r="9" spans="1:18" outlineLevel="1">
      <c r="A9" s="104" t="s">
        <v>198</v>
      </c>
      <c r="B9" s="7"/>
      <c r="C9" s="6"/>
      <c r="D9" s="6"/>
      <c r="E9" s="6"/>
      <c r="F9" s="6"/>
      <c r="G9" s="6"/>
      <c r="H9" s="6"/>
      <c r="I9" s="6"/>
      <c r="J9" s="6"/>
      <c r="K9" s="6"/>
      <c r="L9" s="6"/>
      <c r="M9" s="6"/>
      <c r="N9" s="6"/>
      <c r="O9" s="6"/>
    </row>
    <row r="10" spans="1:18" outlineLevel="1">
      <c r="A10" s="104" t="s">
        <v>199</v>
      </c>
      <c r="B10" s="7"/>
      <c r="C10" s="6"/>
      <c r="D10" s="6"/>
      <c r="E10" s="6"/>
      <c r="F10" s="6"/>
      <c r="G10" s="6"/>
      <c r="H10" s="6"/>
      <c r="I10" s="6"/>
      <c r="J10" s="6"/>
      <c r="K10" s="6"/>
      <c r="L10" s="6"/>
      <c r="M10" s="6"/>
      <c r="N10" s="6"/>
      <c r="O10" s="6"/>
    </row>
    <row r="11" spans="1:18" outlineLevel="1">
      <c r="A11" s="104" t="s">
        <v>29</v>
      </c>
      <c r="B11" s="7"/>
      <c r="C11" s="6"/>
      <c r="D11" s="6"/>
      <c r="E11" s="6"/>
      <c r="F11" s="6"/>
      <c r="G11" s="6"/>
      <c r="H11" s="6"/>
      <c r="I11" s="6"/>
      <c r="J11" s="6"/>
      <c r="K11" s="6"/>
      <c r="L11" s="6"/>
      <c r="M11" s="6"/>
      <c r="N11" s="6"/>
      <c r="O11" s="6"/>
    </row>
    <row r="12" spans="1:18" outlineLevel="1">
      <c r="A12" s="104" t="s">
        <v>26</v>
      </c>
      <c r="B12" s="7"/>
      <c r="C12" s="6"/>
      <c r="D12" s="6"/>
      <c r="E12" s="6"/>
      <c r="F12" s="6"/>
      <c r="G12" s="6"/>
      <c r="H12" s="6"/>
      <c r="I12" s="6"/>
      <c r="J12" s="6"/>
      <c r="K12" s="6"/>
      <c r="L12" s="6"/>
      <c r="M12" s="6"/>
      <c r="N12" s="6"/>
      <c r="O12" s="6"/>
    </row>
    <row r="13" spans="1:18" outlineLevel="1">
      <c r="A13" s="104" t="s">
        <v>200</v>
      </c>
      <c r="B13" s="7"/>
      <c r="C13" s="6"/>
      <c r="D13" s="6"/>
      <c r="E13" s="6"/>
      <c r="F13" s="6"/>
      <c r="G13" s="6"/>
      <c r="H13" s="6"/>
      <c r="I13" s="6"/>
      <c r="J13" s="6"/>
      <c r="K13" s="6"/>
      <c r="L13" s="6"/>
      <c r="M13" s="6"/>
      <c r="N13" s="6"/>
      <c r="O13" s="6"/>
    </row>
    <row r="14" spans="1:18" outlineLevel="1">
      <c r="A14" s="104" t="s">
        <v>201</v>
      </c>
      <c r="B14" s="7"/>
      <c r="C14" s="6"/>
      <c r="D14" s="6"/>
      <c r="E14" s="6"/>
      <c r="F14" s="6"/>
      <c r="G14" s="6"/>
      <c r="H14" s="6"/>
      <c r="I14" s="6"/>
      <c r="J14" s="6"/>
      <c r="K14" s="6"/>
      <c r="L14" s="6"/>
      <c r="M14" s="6"/>
      <c r="N14" s="6"/>
      <c r="O14" s="6"/>
    </row>
    <row r="15" spans="1:18" outlineLevel="1">
      <c r="A15" s="104" t="s">
        <v>202</v>
      </c>
      <c r="B15" s="7"/>
      <c r="C15" s="6"/>
      <c r="D15" s="6"/>
      <c r="E15" s="6"/>
      <c r="F15" s="6"/>
      <c r="G15" s="6"/>
      <c r="H15" s="6"/>
      <c r="I15" s="6"/>
      <c r="J15" s="6"/>
      <c r="K15" s="6"/>
      <c r="L15" s="6"/>
      <c r="M15" s="6"/>
      <c r="N15" s="6"/>
      <c r="O15" s="6"/>
    </row>
    <row r="16" spans="1:18" outlineLevel="1">
      <c r="A16" s="104" t="s">
        <v>27</v>
      </c>
      <c r="B16" s="7"/>
      <c r="C16" s="6"/>
      <c r="D16" s="6"/>
      <c r="E16" s="6"/>
      <c r="F16" s="6"/>
      <c r="G16" s="6"/>
      <c r="H16" s="6"/>
      <c r="I16" s="6"/>
      <c r="J16" s="6"/>
      <c r="K16" s="6"/>
      <c r="L16" s="6"/>
      <c r="M16" s="6"/>
      <c r="N16" s="6"/>
      <c r="O16" s="6"/>
    </row>
    <row r="17" spans="1:17" outlineLevel="1">
      <c r="A17" s="104" t="s">
        <v>1</v>
      </c>
      <c r="B17" s="7"/>
      <c r="C17" s="6"/>
      <c r="D17" s="6"/>
      <c r="E17" s="6"/>
      <c r="F17" s="6"/>
      <c r="G17" s="6"/>
      <c r="H17" s="6"/>
      <c r="I17" s="6"/>
      <c r="J17" s="6"/>
      <c r="K17" s="6"/>
      <c r="L17" s="6"/>
      <c r="M17" s="6"/>
      <c r="N17" s="6"/>
      <c r="O17" s="6"/>
    </row>
    <row r="18" spans="1:17" outlineLevel="1">
      <c r="A18" s="104" t="s">
        <v>2</v>
      </c>
      <c r="B18" s="8">
        <f t="shared" ref="B18:O18" si="1">((B11)+(B16))+(B17)</f>
        <v>0</v>
      </c>
      <c r="C18" s="8">
        <f t="shared" si="1"/>
        <v>0</v>
      </c>
      <c r="D18" s="8">
        <f t="shared" si="1"/>
        <v>0</v>
      </c>
      <c r="E18" s="8">
        <f t="shared" si="1"/>
        <v>0</v>
      </c>
      <c r="F18" s="8">
        <f t="shared" si="1"/>
        <v>0</v>
      </c>
      <c r="G18" s="8">
        <f t="shared" si="1"/>
        <v>0</v>
      </c>
      <c r="H18" s="8">
        <f t="shared" si="1"/>
        <v>0</v>
      </c>
      <c r="I18" s="8">
        <f t="shared" si="1"/>
        <v>0</v>
      </c>
      <c r="J18" s="8">
        <f t="shared" si="1"/>
        <v>0</v>
      </c>
      <c r="K18" s="8">
        <f t="shared" si="1"/>
        <v>0</v>
      </c>
      <c r="L18" s="8">
        <f t="shared" si="1"/>
        <v>0</v>
      </c>
      <c r="M18" s="8">
        <f t="shared" si="1"/>
        <v>0</v>
      </c>
      <c r="N18" s="8">
        <f t="shared" si="1"/>
        <v>0</v>
      </c>
      <c r="O18" s="8">
        <f t="shared" si="1"/>
        <v>0</v>
      </c>
    </row>
    <row r="19" spans="1:17">
      <c r="A19" s="98" t="s">
        <v>3</v>
      </c>
      <c r="B19" s="191"/>
      <c r="C19" s="191"/>
      <c r="D19" s="191"/>
      <c r="E19" s="191"/>
      <c r="F19" s="191"/>
      <c r="G19" s="191"/>
      <c r="H19" s="191"/>
      <c r="I19" s="191"/>
      <c r="J19" s="191"/>
      <c r="K19" s="191"/>
      <c r="L19" s="191"/>
      <c r="M19" s="191"/>
      <c r="N19" s="191"/>
      <c r="O19" s="191"/>
    </row>
    <row r="20" spans="1:17" ht="15" customHeight="1">
      <c r="A20" s="98" t="s">
        <v>30</v>
      </c>
      <c r="B20" s="191"/>
      <c r="C20" s="191"/>
      <c r="D20" s="191"/>
      <c r="E20" s="191"/>
      <c r="F20" s="191"/>
      <c r="G20" s="191"/>
      <c r="H20" s="191"/>
      <c r="I20" s="191"/>
      <c r="J20" s="191"/>
      <c r="K20" s="191"/>
      <c r="L20" s="191"/>
      <c r="M20" s="191"/>
      <c r="N20" s="191"/>
      <c r="O20" s="191"/>
    </row>
    <row r="21" spans="1:17">
      <c r="A21" s="98" t="s">
        <v>31</v>
      </c>
      <c r="B21" s="189"/>
      <c r="C21" s="189"/>
      <c r="D21" s="189"/>
      <c r="E21" s="189"/>
      <c r="F21" s="189"/>
      <c r="G21" s="189"/>
      <c r="H21" s="189"/>
      <c r="I21" s="189"/>
      <c r="J21" s="189"/>
      <c r="K21" s="189"/>
      <c r="L21" s="189"/>
      <c r="M21" s="189"/>
      <c r="N21" s="189"/>
      <c r="O21" s="189"/>
    </row>
    <row r="22" spans="1:17">
      <c r="A22" s="98" t="s">
        <v>203</v>
      </c>
      <c r="B22" s="189"/>
      <c r="C22" s="189"/>
      <c r="D22" s="189"/>
      <c r="E22" s="189"/>
      <c r="F22" s="189"/>
      <c r="G22" s="189"/>
      <c r="H22" s="189"/>
      <c r="I22" s="189"/>
      <c r="J22" s="189"/>
      <c r="K22" s="189"/>
      <c r="L22" s="189"/>
      <c r="M22" s="189"/>
      <c r="N22" s="189"/>
      <c r="O22" s="189"/>
    </row>
    <row r="23" spans="1:17">
      <c r="A23" s="98" t="s">
        <v>204</v>
      </c>
      <c r="B23" s="189"/>
      <c r="C23" s="189"/>
      <c r="D23" s="189"/>
      <c r="E23" s="189"/>
      <c r="F23" s="189"/>
      <c r="G23" s="189"/>
      <c r="H23" s="189"/>
      <c r="I23" s="189"/>
      <c r="J23" s="189"/>
      <c r="K23" s="189"/>
      <c r="L23" s="189"/>
      <c r="M23" s="189"/>
      <c r="N23" s="189"/>
      <c r="O23" s="189"/>
    </row>
    <row r="24" spans="1:17">
      <c r="A24" s="98" t="s">
        <v>205</v>
      </c>
      <c r="B24" s="190"/>
      <c r="C24" s="190"/>
      <c r="D24" s="190"/>
      <c r="E24" s="190"/>
      <c r="F24" s="190"/>
      <c r="G24" s="190"/>
      <c r="H24" s="190"/>
      <c r="I24" s="190"/>
      <c r="J24" s="190"/>
      <c r="K24" s="190"/>
      <c r="L24" s="190"/>
      <c r="M24" s="190"/>
      <c r="N24" s="190"/>
      <c r="O24" s="190"/>
    </row>
    <row r="25" spans="1:17">
      <c r="A25" s="98" t="s">
        <v>32</v>
      </c>
      <c r="B25" s="99">
        <f t="shared" ref="B25:O25" si="2">(((B21)+(B22))+(B23))+(B24)</f>
        <v>0</v>
      </c>
      <c r="C25" s="99">
        <f t="shared" si="2"/>
        <v>0</v>
      </c>
      <c r="D25" s="99">
        <f t="shared" si="2"/>
        <v>0</v>
      </c>
      <c r="E25" s="99">
        <f t="shared" si="2"/>
        <v>0</v>
      </c>
      <c r="F25" s="99">
        <f t="shared" si="2"/>
        <v>0</v>
      </c>
      <c r="G25" s="99">
        <f t="shared" si="2"/>
        <v>0</v>
      </c>
      <c r="H25" s="99">
        <f t="shared" si="2"/>
        <v>0</v>
      </c>
      <c r="I25" s="99">
        <f t="shared" si="2"/>
        <v>0</v>
      </c>
      <c r="J25" s="99">
        <f t="shared" si="2"/>
        <v>0</v>
      </c>
      <c r="K25" s="99">
        <f t="shared" si="2"/>
        <v>0</v>
      </c>
      <c r="L25" s="99">
        <f t="shared" si="2"/>
        <v>0</v>
      </c>
      <c r="M25" s="99">
        <f t="shared" si="2"/>
        <v>0</v>
      </c>
      <c r="N25" s="99">
        <f t="shared" si="2"/>
        <v>0</v>
      </c>
      <c r="O25" s="99">
        <f t="shared" si="2"/>
        <v>0</v>
      </c>
    </row>
    <row r="26" spans="1:17">
      <c r="A26" s="98" t="s">
        <v>33</v>
      </c>
      <c r="B26" s="99">
        <f t="shared" ref="B26:O26" si="3">(B20)+(B25)</f>
        <v>0</v>
      </c>
      <c r="C26" s="99">
        <f t="shared" si="3"/>
        <v>0</v>
      </c>
      <c r="D26" s="99">
        <f t="shared" si="3"/>
        <v>0</v>
      </c>
      <c r="E26" s="99">
        <f t="shared" si="3"/>
        <v>0</v>
      </c>
      <c r="F26" s="99">
        <f t="shared" si="3"/>
        <v>0</v>
      </c>
      <c r="G26" s="99">
        <f t="shared" si="3"/>
        <v>0</v>
      </c>
      <c r="H26" s="99">
        <f t="shared" si="3"/>
        <v>0</v>
      </c>
      <c r="I26" s="99">
        <f t="shared" si="3"/>
        <v>0</v>
      </c>
      <c r="J26" s="99">
        <f t="shared" si="3"/>
        <v>0</v>
      </c>
      <c r="K26" s="99">
        <f t="shared" si="3"/>
        <v>0</v>
      </c>
      <c r="L26" s="99">
        <f t="shared" si="3"/>
        <v>0</v>
      </c>
      <c r="M26" s="99">
        <f t="shared" si="3"/>
        <v>0</v>
      </c>
      <c r="N26" s="99">
        <f t="shared" si="3"/>
        <v>0</v>
      </c>
      <c r="O26" s="99">
        <f t="shared" si="3"/>
        <v>0</v>
      </c>
    </row>
    <row r="27" spans="1:17">
      <c r="A27" s="56" t="s">
        <v>4</v>
      </c>
      <c r="B27" s="5">
        <f t="shared" ref="B27:O27" si="4">B26</f>
        <v>0</v>
      </c>
      <c r="C27" s="5">
        <f t="shared" si="4"/>
        <v>0</v>
      </c>
      <c r="D27" s="5">
        <f t="shared" si="4"/>
        <v>0</v>
      </c>
      <c r="E27" s="5">
        <f t="shared" si="4"/>
        <v>0</v>
      </c>
      <c r="F27" s="5">
        <f t="shared" si="4"/>
        <v>0</v>
      </c>
      <c r="G27" s="5">
        <f t="shared" si="4"/>
        <v>0</v>
      </c>
      <c r="H27" s="5">
        <f t="shared" si="4"/>
        <v>0</v>
      </c>
      <c r="I27" s="5">
        <f t="shared" si="4"/>
        <v>0</v>
      </c>
      <c r="J27" s="5">
        <f t="shared" si="4"/>
        <v>0</v>
      </c>
      <c r="K27" s="5">
        <f t="shared" si="4"/>
        <v>0</v>
      </c>
      <c r="L27" s="5">
        <f t="shared" si="4"/>
        <v>0</v>
      </c>
      <c r="M27" s="5">
        <f t="shared" si="4"/>
        <v>0</v>
      </c>
      <c r="N27" s="5">
        <f t="shared" si="4"/>
        <v>0</v>
      </c>
      <c r="O27" s="5">
        <f t="shared" si="4"/>
        <v>0</v>
      </c>
    </row>
    <row r="28" spans="1:17">
      <c r="A28" s="56" t="s">
        <v>5</v>
      </c>
      <c r="B28" s="5">
        <f t="shared" ref="B28:O28" si="5">(B18)-(B27)</f>
        <v>0</v>
      </c>
      <c r="C28" s="5">
        <f t="shared" si="5"/>
        <v>0</v>
      </c>
      <c r="D28" s="5">
        <f t="shared" si="5"/>
        <v>0</v>
      </c>
      <c r="E28" s="5">
        <f t="shared" si="5"/>
        <v>0</v>
      </c>
      <c r="F28" s="5">
        <f t="shared" si="5"/>
        <v>0</v>
      </c>
      <c r="G28" s="5">
        <f t="shared" si="5"/>
        <v>0</v>
      </c>
      <c r="H28" s="5">
        <f t="shared" si="5"/>
        <v>0</v>
      </c>
      <c r="I28" s="5">
        <f t="shared" si="5"/>
        <v>0</v>
      </c>
      <c r="J28" s="5">
        <f t="shared" si="5"/>
        <v>0</v>
      </c>
      <c r="K28" s="5">
        <f t="shared" si="5"/>
        <v>0</v>
      </c>
      <c r="L28" s="5">
        <f t="shared" si="5"/>
        <v>0</v>
      </c>
      <c r="M28" s="5">
        <f t="shared" si="5"/>
        <v>0</v>
      </c>
      <c r="N28" s="5">
        <f t="shared" si="5"/>
        <v>0</v>
      </c>
      <c r="O28" s="5">
        <f t="shared" si="5"/>
        <v>0</v>
      </c>
      <c r="Q28" s="89"/>
    </row>
    <row r="29" spans="1:17">
      <c r="A29" s="56" t="s">
        <v>6</v>
      </c>
      <c r="B29" s="3"/>
      <c r="C29" s="3"/>
      <c r="D29" s="3"/>
      <c r="E29" s="3"/>
      <c r="F29" s="3"/>
      <c r="G29" s="3"/>
      <c r="H29" s="3"/>
      <c r="I29" s="3"/>
      <c r="J29" s="3"/>
      <c r="K29" s="3"/>
      <c r="L29" s="3"/>
      <c r="M29" s="3"/>
      <c r="N29" s="3"/>
      <c r="O29" s="3"/>
    </row>
    <row r="30" spans="1:17">
      <c r="A30" s="56" t="s">
        <v>83</v>
      </c>
      <c r="B30" s="3"/>
      <c r="C30" s="3"/>
      <c r="D30" s="3"/>
      <c r="E30" s="3"/>
      <c r="F30" s="3"/>
      <c r="G30" s="3"/>
      <c r="H30" s="3"/>
      <c r="I30" s="3"/>
      <c r="J30" s="3"/>
      <c r="K30" s="3"/>
      <c r="L30" s="3"/>
      <c r="M30" s="3"/>
      <c r="N30" s="3"/>
      <c r="O30" s="3"/>
    </row>
    <row r="31" spans="1:17">
      <c r="A31" s="100" t="s">
        <v>84</v>
      </c>
      <c r="B31" s="101">
        <f>0</f>
        <v>0</v>
      </c>
      <c r="C31" s="102">
        <f>325</f>
        <v>325</v>
      </c>
      <c r="D31" s="101">
        <f>0</f>
        <v>0</v>
      </c>
      <c r="E31" s="101">
        <f>0</f>
        <v>0</v>
      </c>
      <c r="F31" s="101">
        <f>0</f>
        <v>0</v>
      </c>
      <c r="G31" s="101">
        <f>0</f>
        <v>0</v>
      </c>
      <c r="H31" s="101">
        <f>0</f>
        <v>0</v>
      </c>
      <c r="I31" s="101">
        <f>0</f>
        <v>0</v>
      </c>
      <c r="J31" s="101">
        <f>0</f>
        <v>0</v>
      </c>
      <c r="K31" s="101">
        <f>0</f>
        <v>0</v>
      </c>
      <c r="L31" s="101">
        <f>0</f>
        <v>0</v>
      </c>
      <c r="M31" s="102">
        <f>1037</f>
        <v>1037</v>
      </c>
      <c r="N31" s="101">
        <f>0</f>
        <v>0</v>
      </c>
      <c r="O31" s="101">
        <f>0</f>
        <v>0</v>
      </c>
      <c r="P31" s="103">
        <f t="shared" ref="P31:P80" si="6">AVERAGE(B31:O31)</f>
        <v>97.285714285714292</v>
      </c>
    </row>
    <row r="32" spans="1:17">
      <c r="A32" s="100" t="s">
        <v>85</v>
      </c>
      <c r="B32" s="101">
        <f>0</f>
        <v>0</v>
      </c>
      <c r="C32" s="101">
        <f>0</f>
        <v>0</v>
      </c>
      <c r="D32" s="101">
        <f>0</f>
        <v>0</v>
      </c>
      <c r="E32" s="102">
        <f>288.12</f>
        <v>288.12</v>
      </c>
      <c r="F32" s="102">
        <f>10.95</f>
        <v>10.95</v>
      </c>
      <c r="G32" s="102">
        <f>172.05</f>
        <v>172.05</v>
      </c>
      <c r="H32" s="101">
        <f>0</f>
        <v>0</v>
      </c>
      <c r="I32" s="102">
        <f>262.05</f>
        <v>262.05</v>
      </c>
      <c r="J32" s="102">
        <f>1.99</f>
        <v>1.99</v>
      </c>
      <c r="K32" s="102">
        <f>10.95</f>
        <v>10.95</v>
      </c>
      <c r="L32" s="101">
        <f>0</f>
        <v>0</v>
      </c>
      <c r="M32" s="102">
        <f>262.05</f>
        <v>262.05</v>
      </c>
      <c r="N32" s="102">
        <f>152.54</f>
        <v>152.54</v>
      </c>
      <c r="O32" s="102">
        <f>10.95</f>
        <v>10.95</v>
      </c>
      <c r="P32" s="103">
        <f t="shared" si="6"/>
        <v>83.689285714285717</v>
      </c>
    </row>
    <row r="33" spans="1:30">
      <c r="A33" s="100" t="s">
        <v>86</v>
      </c>
      <c r="B33" s="101">
        <f>0</f>
        <v>0</v>
      </c>
      <c r="C33" s="101">
        <f>0</f>
        <v>0</v>
      </c>
      <c r="D33" s="101">
        <f>0</f>
        <v>0</v>
      </c>
      <c r="E33" s="101">
        <f>0</f>
        <v>0</v>
      </c>
      <c r="F33" s="101">
        <f>0</f>
        <v>0</v>
      </c>
      <c r="G33" s="101">
        <f>0</f>
        <v>0</v>
      </c>
      <c r="H33" s="101">
        <f>0</f>
        <v>0</v>
      </c>
      <c r="I33" s="101">
        <f>0</f>
        <v>0</v>
      </c>
      <c r="J33" s="101">
        <f>0</f>
        <v>0</v>
      </c>
      <c r="K33" s="101">
        <f>0</f>
        <v>0</v>
      </c>
      <c r="L33" s="101">
        <f>0</f>
        <v>0</v>
      </c>
      <c r="M33" s="101">
        <f>0</f>
        <v>0</v>
      </c>
      <c r="N33" s="101">
        <f>0</f>
        <v>0</v>
      </c>
      <c r="O33" s="101">
        <f>0</f>
        <v>0</v>
      </c>
      <c r="P33" s="103">
        <f t="shared" si="6"/>
        <v>0</v>
      </c>
    </row>
    <row r="34" spans="1:30">
      <c r="A34" s="100" t="s">
        <v>87</v>
      </c>
      <c r="B34" s="101">
        <f>0</f>
        <v>0</v>
      </c>
      <c r="C34" s="101">
        <f>0</f>
        <v>0</v>
      </c>
      <c r="D34" s="101">
        <f>0</f>
        <v>0</v>
      </c>
      <c r="E34" s="101">
        <f>0</f>
        <v>0</v>
      </c>
      <c r="F34" s="101">
        <f>0</f>
        <v>0</v>
      </c>
      <c r="G34" s="102">
        <f>169.88</f>
        <v>169.88</v>
      </c>
      <c r="H34" s="101">
        <f>0</f>
        <v>0</v>
      </c>
      <c r="I34" s="101">
        <f>0</f>
        <v>0</v>
      </c>
      <c r="J34" s="101">
        <f>0</f>
        <v>0</v>
      </c>
      <c r="K34" s="101">
        <f>0</f>
        <v>0</v>
      </c>
      <c r="L34" s="102">
        <f>175.55</f>
        <v>175.55</v>
      </c>
      <c r="M34" s="101">
        <f>0</f>
        <v>0</v>
      </c>
      <c r="N34" s="101">
        <f>0</f>
        <v>0</v>
      </c>
      <c r="O34" s="101">
        <f>0</f>
        <v>0</v>
      </c>
      <c r="P34" s="103">
        <f t="shared" si="6"/>
        <v>24.673571428571428</v>
      </c>
    </row>
    <row r="35" spans="1:30">
      <c r="A35" s="100" t="s">
        <v>88</v>
      </c>
      <c r="B35" s="102">
        <f>5908</f>
        <v>5908</v>
      </c>
      <c r="C35" s="101">
        <f>0</f>
        <v>0</v>
      </c>
      <c r="D35" s="102">
        <f>738.5</f>
        <v>738.5</v>
      </c>
      <c r="E35" s="101">
        <f>0</f>
        <v>0</v>
      </c>
      <c r="F35" s="101">
        <f>0</f>
        <v>0</v>
      </c>
      <c r="G35" s="101">
        <f>0</f>
        <v>0</v>
      </c>
      <c r="H35" s="102">
        <f>738.5</f>
        <v>738.5</v>
      </c>
      <c r="I35" s="101">
        <f>0</f>
        <v>0</v>
      </c>
      <c r="J35" s="101">
        <f>0</f>
        <v>0</v>
      </c>
      <c r="K35" s="101">
        <f>0</f>
        <v>0</v>
      </c>
      <c r="L35" s="102">
        <f>738.5</f>
        <v>738.5</v>
      </c>
      <c r="M35" s="101">
        <f>0</f>
        <v>0</v>
      </c>
      <c r="N35" s="101">
        <f>0</f>
        <v>0</v>
      </c>
      <c r="O35" s="101">
        <f>0</f>
        <v>0</v>
      </c>
      <c r="P35" s="103">
        <f t="shared" si="6"/>
        <v>580.25</v>
      </c>
    </row>
    <row r="36" spans="1:30">
      <c r="A36" s="56" t="s">
        <v>89</v>
      </c>
      <c r="B36" s="5">
        <f t="shared" ref="B36:O36" si="7">((B33)+(B34))+(B35)</f>
        <v>5908</v>
      </c>
      <c r="C36" s="5">
        <f t="shared" si="7"/>
        <v>0</v>
      </c>
      <c r="D36" s="5">
        <f t="shared" si="7"/>
        <v>738.5</v>
      </c>
      <c r="E36" s="5">
        <f t="shared" si="7"/>
        <v>0</v>
      </c>
      <c r="F36" s="5">
        <f t="shared" si="7"/>
        <v>0</v>
      </c>
      <c r="G36" s="5">
        <f t="shared" si="7"/>
        <v>169.88</v>
      </c>
      <c r="H36" s="5">
        <f t="shared" si="7"/>
        <v>738.5</v>
      </c>
      <c r="I36" s="5">
        <f t="shared" si="7"/>
        <v>0</v>
      </c>
      <c r="J36" s="5">
        <f t="shared" si="7"/>
        <v>0</v>
      </c>
      <c r="K36" s="5">
        <f t="shared" si="7"/>
        <v>0</v>
      </c>
      <c r="L36" s="5">
        <f t="shared" si="7"/>
        <v>914.05</v>
      </c>
      <c r="M36" s="5">
        <f t="shared" si="7"/>
        <v>0</v>
      </c>
      <c r="N36" s="5">
        <f t="shared" si="7"/>
        <v>0</v>
      </c>
      <c r="O36" s="5">
        <f t="shared" si="7"/>
        <v>0</v>
      </c>
      <c r="P36" s="97"/>
    </row>
    <row r="37" spans="1:30">
      <c r="A37" s="100" t="s">
        <v>90</v>
      </c>
      <c r="B37" s="101"/>
      <c r="C37" s="102"/>
      <c r="D37" s="102">
        <v>183.92</v>
      </c>
      <c r="E37" s="102">
        <v>595.33000000000004</v>
      </c>
      <c r="F37" s="102">
        <v>89.52</v>
      </c>
      <c r="G37" s="102">
        <v>15.55</v>
      </c>
      <c r="H37" s="102">
        <v>215.06</v>
      </c>
      <c r="I37" s="102">
        <v>62.09</v>
      </c>
      <c r="J37" s="102">
        <v>353.16</v>
      </c>
      <c r="K37" s="102">
        <v>117.2</v>
      </c>
      <c r="L37" s="102">
        <v>54.27</v>
      </c>
      <c r="M37" s="102">
        <v>117.2</v>
      </c>
      <c r="N37" s="102">
        <v>127.99</v>
      </c>
      <c r="O37" s="102">
        <v>190.16</v>
      </c>
      <c r="P37" s="103">
        <f t="shared" si="6"/>
        <v>176.78749999999999</v>
      </c>
    </row>
    <row r="38" spans="1:30">
      <c r="A38" s="100" t="s">
        <v>91</v>
      </c>
      <c r="B38" s="101"/>
      <c r="C38" s="101"/>
      <c r="D38" s="102">
        <v>14.04</v>
      </c>
      <c r="E38" s="102"/>
      <c r="F38" s="102"/>
      <c r="G38" s="102">
        <v>31.3</v>
      </c>
      <c r="H38" s="102">
        <v>14.04</v>
      </c>
      <c r="I38" s="101">
        <v>11.5</v>
      </c>
      <c r="J38" s="101"/>
      <c r="K38" s="101"/>
      <c r="L38" s="102">
        <v>68.03</v>
      </c>
      <c r="M38" s="102"/>
      <c r="N38" s="102"/>
      <c r="O38" s="101">
        <v>189.03</v>
      </c>
      <c r="P38" s="103">
        <f t="shared" si="6"/>
        <v>54.656666666666666</v>
      </c>
    </row>
    <row r="39" spans="1:30">
      <c r="A39" s="56" t="s">
        <v>92</v>
      </c>
      <c r="B39" s="3"/>
      <c r="C39" s="3"/>
      <c r="D39" s="3"/>
      <c r="E39" s="3"/>
      <c r="F39" s="3"/>
      <c r="G39" s="3"/>
      <c r="H39" s="3"/>
      <c r="I39" s="3"/>
      <c r="J39" s="3"/>
      <c r="K39" s="3"/>
      <c r="L39" s="3"/>
      <c r="M39" s="3"/>
      <c r="N39" s="3"/>
      <c r="O39" s="3"/>
      <c r="P39" s="97"/>
    </row>
    <row r="40" spans="1:30">
      <c r="A40" s="100" t="s">
        <v>93</v>
      </c>
      <c r="B40" s="101">
        <f>0</f>
        <v>0</v>
      </c>
      <c r="C40" s="101">
        <f>0</f>
        <v>0</v>
      </c>
      <c r="D40" s="101">
        <f>0</f>
        <v>0</v>
      </c>
      <c r="E40" s="101">
        <f>0</f>
        <v>0</v>
      </c>
      <c r="F40" s="102">
        <f>4577.25</f>
        <v>4577.25</v>
      </c>
      <c r="G40" s="101">
        <f>0</f>
        <v>0</v>
      </c>
      <c r="H40" s="102">
        <f>3338</f>
        <v>3338</v>
      </c>
      <c r="I40" s="101">
        <f>0</f>
        <v>0</v>
      </c>
      <c r="J40" s="101">
        <f>0</f>
        <v>0</v>
      </c>
      <c r="K40" s="101">
        <f>0</f>
        <v>0</v>
      </c>
      <c r="L40" s="102">
        <f>858.93</f>
        <v>858.93</v>
      </c>
      <c r="M40" s="102">
        <f>438</f>
        <v>438</v>
      </c>
      <c r="N40" s="101">
        <f>0</f>
        <v>0</v>
      </c>
      <c r="O40" s="101">
        <f>0</f>
        <v>0</v>
      </c>
      <c r="P40" s="103">
        <f t="shared" si="6"/>
        <v>658.01285714285711</v>
      </c>
    </row>
    <row r="41" spans="1:30">
      <c r="A41" s="100" t="s">
        <v>94</v>
      </c>
      <c r="B41" s="101">
        <f>0</f>
        <v>0</v>
      </c>
      <c r="C41" s="101">
        <f>0</f>
        <v>0</v>
      </c>
      <c r="D41" s="101">
        <f>0</f>
        <v>0</v>
      </c>
      <c r="E41" s="101">
        <f>0</f>
        <v>0</v>
      </c>
      <c r="F41" s="101">
        <f>0</f>
        <v>0</v>
      </c>
      <c r="G41" s="102">
        <f>160</f>
        <v>160</v>
      </c>
      <c r="H41" s="101">
        <f>0</f>
        <v>0</v>
      </c>
      <c r="I41" s="101">
        <f>0</f>
        <v>0</v>
      </c>
      <c r="J41" s="101">
        <f>0</f>
        <v>0</v>
      </c>
      <c r="K41" s="101">
        <f>0</f>
        <v>0</v>
      </c>
      <c r="L41" s="102">
        <f>160</f>
        <v>160</v>
      </c>
      <c r="M41" s="101">
        <f>0</f>
        <v>0</v>
      </c>
      <c r="N41" s="101">
        <f>0</f>
        <v>0</v>
      </c>
      <c r="O41" s="101">
        <f>0</f>
        <v>0</v>
      </c>
      <c r="P41" s="103">
        <f t="shared" si="6"/>
        <v>22.857142857142858</v>
      </c>
    </row>
    <row r="42" spans="1:30">
      <c r="A42" s="100" t="s">
        <v>95</v>
      </c>
      <c r="B42" s="101">
        <f>0</f>
        <v>0</v>
      </c>
      <c r="C42" s="101">
        <f>0</f>
        <v>0</v>
      </c>
      <c r="D42" s="102">
        <f>5801.25</f>
        <v>5801.25</v>
      </c>
      <c r="E42" s="101">
        <f>0</f>
        <v>0</v>
      </c>
      <c r="F42" s="102">
        <f>42.79</f>
        <v>42.79</v>
      </c>
      <c r="G42" s="102">
        <f>2817.5</f>
        <v>2817.5</v>
      </c>
      <c r="H42" s="101">
        <f>0</f>
        <v>0</v>
      </c>
      <c r="I42" s="101">
        <f>0</f>
        <v>0</v>
      </c>
      <c r="J42" s="101">
        <f>0</f>
        <v>0</v>
      </c>
      <c r="K42" s="101">
        <f>0</f>
        <v>0</v>
      </c>
      <c r="L42" s="101">
        <f>0</f>
        <v>0</v>
      </c>
      <c r="M42" s="102">
        <f>35</f>
        <v>35</v>
      </c>
      <c r="N42" s="102">
        <f>3647.5</f>
        <v>3647.5</v>
      </c>
      <c r="O42" s="101">
        <f>0</f>
        <v>0</v>
      </c>
      <c r="P42" s="103">
        <f t="shared" si="6"/>
        <v>881.7171428571429</v>
      </c>
    </row>
    <row r="43" spans="1:30">
      <c r="A43" s="56" t="s">
        <v>96</v>
      </c>
      <c r="B43" s="5">
        <f t="shared" ref="B43:O43" si="8">(((B39)+(B40))+(B41))+(B42)</f>
        <v>0</v>
      </c>
      <c r="C43" s="5">
        <f t="shared" si="8"/>
        <v>0</v>
      </c>
      <c r="D43" s="5">
        <f t="shared" si="8"/>
        <v>5801.25</v>
      </c>
      <c r="E43" s="5">
        <f t="shared" si="8"/>
        <v>0</v>
      </c>
      <c r="F43" s="5">
        <f t="shared" si="8"/>
        <v>4620.04</v>
      </c>
      <c r="G43" s="5">
        <f t="shared" si="8"/>
        <v>2977.5</v>
      </c>
      <c r="H43" s="5">
        <f t="shared" si="8"/>
        <v>3338</v>
      </c>
      <c r="I43" s="5">
        <f t="shared" si="8"/>
        <v>0</v>
      </c>
      <c r="J43" s="5">
        <f t="shared" si="8"/>
        <v>0</v>
      </c>
      <c r="K43" s="5">
        <f t="shared" si="8"/>
        <v>0</v>
      </c>
      <c r="L43" s="5">
        <f t="shared" si="8"/>
        <v>1018.93</v>
      </c>
      <c r="M43" s="5">
        <f t="shared" si="8"/>
        <v>473</v>
      </c>
      <c r="N43" s="5">
        <f t="shared" si="8"/>
        <v>3647.5</v>
      </c>
      <c r="O43" s="5">
        <f t="shared" si="8"/>
        <v>0</v>
      </c>
      <c r="P43" s="97"/>
    </row>
    <row r="44" spans="1:30">
      <c r="A44" s="100" t="s">
        <v>97</v>
      </c>
      <c r="B44" s="102">
        <f>0</f>
        <v>0</v>
      </c>
      <c r="C44" s="101">
        <f>0</f>
        <v>0</v>
      </c>
      <c r="D44" s="101">
        <f>0</f>
        <v>0</v>
      </c>
      <c r="E44" s="101">
        <f>0</f>
        <v>0</v>
      </c>
      <c r="F44" s="101">
        <f>223.18</f>
        <v>223.18</v>
      </c>
      <c r="G44" s="101">
        <f>0</f>
        <v>0</v>
      </c>
      <c r="H44" s="101">
        <f>0</f>
        <v>0</v>
      </c>
      <c r="I44" s="101">
        <f>0</f>
        <v>0</v>
      </c>
      <c r="J44" s="102">
        <f>318.3</f>
        <v>318.3</v>
      </c>
      <c r="K44" s="101">
        <f>0</f>
        <v>0</v>
      </c>
      <c r="L44" s="101">
        <f>0</f>
        <v>0</v>
      </c>
      <c r="M44" s="101">
        <f>0</f>
        <v>0</v>
      </c>
      <c r="N44" s="102">
        <f>0</f>
        <v>0</v>
      </c>
      <c r="O44" s="101">
        <v>396.68</v>
      </c>
      <c r="P44" s="103">
        <f t="shared" si="6"/>
        <v>67.011428571428581</v>
      </c>
    </row>
    <row r="45" spans="1:30">
      <c r="A45" s="100" t="s">
        <v>98</v>
      </c>
      <c r="B45" s="101">
        <f>0</f>
        <v>0</v>
      </c>
      <c r="C45" s="102">
        <f>64.07</f>
        <v>64.069999999999993</v>
      </c>
      <c r="D45" s="101">
        <f>0</f>
        <v>0</v>
      </c>
      <c r="E45" s="101">
        <f>0</f>
        <v>0</v>
      </c>
      <c r="F45" s="102">
        <f>24</f>
        <v>24</v>
      </c>
      <c r="G45" s="102">
        <f>45</f>
        <v>45</v>
      </c>
      <c r="H45" s="102">
        <f>0</f>
        <v>0</v>
      </c>
      <c r="I45" s="101">
        <f>0</f>
        <v>0</v>
      </c>
      <c r="J45" s="102">
        <f>0</f>
        <v>0</v>
      </c>
      <c r="K45" s="101">
        <f>0</f>
        <v>0</v>
      </c>
      <c r="L45" s="101">
        <f>85</f>
        <v>85</v>
      </c>
      <c r="M45" s="101">
        <f>69</f>
        <v>69</v>
      </c>
      <c r="N45" s="101">
        <f>48</f>
        <v>48</v>
      </c>
      <c r="O45" s="102">
        <v>0</v>
      </c>
      <c r="P45" s="103">
        <f t="shared" si="6"/>
        <v>23.93357142857143</v>
      </c>
      <c r="T45" s="89"/>
    </row>
    <row r="46" spans="1:30">
      <c r="A46" s="100" t="s">
        <v>99</v>
      </c>
      <c r="B46" s="101">
        <f>110</f>
        <v>110</v>
      </c>
      <c r="C46" s="101">
        <f>0</f>
        <v>0</v>
      </c>
      <c r="D46" s="101">
        <f>0</f>
        <v>0</v>
      </c>
      <c r="E46" s="101">
        <f>0</f>
        <v>0</v>
      </c>
      <c r="F46" s="101">
        <f>110</f>
        <v>110</v>
      </c>
      <c r="G46" s="102">
        <f>0</f>
        <v>0</v>
      </c>
      <c r="H46" s="101">
        <f>0</f>
        <v>0</v>
      </c>
      <c r="I46" s="101">
        <f>0</f>
        <v>0</v>
      </c>
      <c r="J46" s="101">
        <f>0</f>
        <v>0</v>
      </c>
      <c r="K46" s="101">
        <f>110</f>
        <v>110</v>
      </c>
      <c r="L46" s="102">
        <f>0</f>
        <v>0</v>
      </c>
      <c r="M46" s="101">
        <f>59.95</f>
        <v>59.95</v>
      </c>
      <c r="N46" s="101">
        <f>0</f>
        <v>0</v>
      </c>
      <c r="O46" s="101">
        <v>0</v>
      </c>
      <c r="P46" s="103">
        <f t="shared" si="6"/>
        <v>27.853571428571428</v>
      </c>
    </row>
    <row r="47" spans="1:30">
      <c r="A47" s="100" t="s">
        <v>100</v>
      </c>
      <c r="B47" s="102">
        <f>258.99</f>
        <v>258.99</v>
      </c>
      <c r="C47" s="101">
        <f>696.97</f>
        <v>696.97</v>
      </c>
      <c r="D47" s="102">
        <f>99</f>
        <v>99</v>
      </c>
      <c r="E47" s="102">
        <f>99.96</f>
        <v>99.96</v>
      </c>
      <c r="F47" s="101">
        <f>462.82</f>
        <v>462.82</v>
      </c>
      <c r="G47" s="102">
        <f>172.49</f>
        <v>172.49</v>
      </c>
      <c r="H47" s="102">
        <f>241.75</f>
        <v>241.75</v>
      </c>
      <c r="I47" s="102">
        <f>69.98</f>
        <v>69.98</v>
      </c>
      <c r="J47" s="102">
        <f>266.57</f>
        <v>266.57</v>
      </c>
      <c r="K47" s="101">
        <f>335.74</f>
        <v>335.74</v>
      </c>
      <c r="L47" s="102">
        <f>227.51</f>
        <v>227.51</v>
      </c>
      <c r="M47" s="101">
        <f>216.72</f>
        <v>216.72</v>
      </c>
      <c r="N47" s="102">
        <f>103.97</f>
        <v>103.97</v>
      </c>
      <c r="O47" s="102">
        <v>189.64</v>
      </c>
      <c r="P47" s="103">
        <f t="shared" si="6"/>
        <v>245.86500000000001</v>
      </c>
      <c r="Q47" s="181" t="s">
        <v>212</v>
      </c>
      <c r="R47" s="180"/>
      <c r="S47" s="180"/>
      <c r="T47" s="180"/>
      <c r="U47" s="180"/>
      <c r="V47" s="180"/>
      <c r="W47" s="180"/>
      <c r="X47" s="180"/>
      <c r="Y47" s="180"/>
      <c r="Z47" s="180"/>
      <c r="AA47" s="180"/>
      <c r="AB47" s="180"/>
      <c r="AC47" s="180"/>
      <c r="AD47" s="180"/>
    </row>
    <row r="48" spans="1:30">
      <c r="A48" s="100" t="s">
        <v>101</v>
      </c>
      <c r="B48" s="101">
        <f>0</f>
        <v>0</v>
      </c>
      <c r="C48" s="101">
        <f>0</f>
        <v>0</v>
      </c>
      <c r="D48" s="101">
        <f>0</f>
        <v>0</v>
      </c>
      <c r="E48" s="101">
        <f>0</f>
        <v>0</v>
      </c>
      <c r="F48" s="101">
        <f>0</f>
        <v>0</v>
      </c>
      <c r="G48" s="102">
        <f>0</f>
        <v>0</v>
      </c>
      <c r="H48" s="101">
        <f>0</f>
        <v>0</v>
      </c>
      <c r="I48" s="101">
        <f>0</f>
        <v>0</v>
      </c>
      <c r="J48" s="101">
        <f>32.06</f>
        <v>32.06</v>
      </c>
      <c r="K48" s="101">
        <f>0</f>
        <v>0</v>
      </c>
      <c r="L48" s="101">
        <f>0</f>
        <v>0</v>
      </c>
      <c r="M48" s="101">
        <f>7.5</f>
        <v>7.5</v>
      </c>
      <c r="N48" s="101">
        <f>10.86</f>
        <v>10.86</v>
      </c>
      <c r="O48" s="101">
        <v>35.17</v>
      </c>
      <c r="P48" s="103">
        <f t="shared" si="6"/>
        <v>6.1135714285714284</v>
      </c>
    </row>
    <row r="49" spans="1:30">
      <c r="A49" s="100" t="s">
        <v>102</v>
      </c>
      <c r="B49" s="102">
        <f>0</f>
        <v>0</v>
      </c>
      <c r="C49" s="101">
        <f>2601.05</f>
        <v>2601.0500000000002</v>
      </c>
      <c r="D49" s="101">
        <f>0</f>
        <v>0</v>
      </c>
      <c r="E49" s="102">
        <f>0</f>
        <v>0</v>
      </c>
      <c r="F49" s="101">
        <f>0</f>
        <v>0</v>
      </c>
      <c r="G49" s="102">
        <f>2601.04</f>
        <v>2601.04</v>
      </c>
      <c r="H49" s="101">
        <f>0</f>
        <v>0</v>
      </c>
      <c r="I49" s="101">
        <f>0</f>
        <v>0</v>
      </c>
      <c r="J49" s="101">
        <f>0</f>
        <v>0</v>
      </c>
      <c r="K49" s="101">
        <f>0</f>
        <v>0</v>
      </c>
      <c r="L49" s="102">
        <f>2601.04</f>
        <v>2601.04</v>
      </c>
      <c r="M49" s="101">
        <f>0</f>
        <v>0</v>
      </c>
      <c r="N49" s="101">
        <f>0</f>
        <v>0</v>
      </c>
      <c r="O49" s="101">
        <v>0</v>
      </c>
      <c r="P49" s="103">
        <f t="shared" si="6"/>
        <v>557.36642857142863</v>
      </c>
      <c r="Q49" s="180" t="s">
        <v>211</v>
      </c>
      <c r="R49" s="180"/>
      <c r="S49" s="180"/>
      <c r="T49" s="180"/>
      <c r="U49" s="180"/>
      <c r="V49" s="180"/>
      <c r="W49" s="180"/>
      <c r="X49" s="180"/>
      <c r="Y49" s="180"/>
      <c r="Z49" s="180"/>
      <c r="AA49" s="180"/>
      <c r="AB49" s="180"/>
      <c r="AC49" s="180"/>
      <c r="AD49" s="180"/>
    </row>
    <row r="50" spans="1:30">
      <c r="A50" s="100" t="s">
        <v>103</v>
      </c>
      <c r="B50" s="101">
        <f>0</f>
        <v>0</v>
      </c>
      <c r="C50" s="102">
        <f>79.32</f>
        <v>79.319999999999993</v>
      </c>
      <c r="D50" s="101">
        <f>0</f>
        <v>0</v>
      </c>
      <c r="E50" s="101">
        <f>0</f>
        <v>0</v>
      </c>
      <c r="F50" s="101">
        <f>0</f>
        <v>0</v>
      </c>
      <c r="G50" s="102">
        <f>79.32</f>
        <v>79.319999999999993</v>
      </c>
      <c r="H50" s="101">
        <f>0</f>
        <v>0</v>
      </c>
      <c r="I50" s="101">
        <f>0</f>
        <v>0</v>
      </c>
      <c r="J50" s="102">
        <f>285.3</f>
        <v>285.3</v>
      </c>
      <c r="K50" s="101">
        <f>79.32</f>
        <v>79.319999999999993</v>
      </c>
      <c r="L50" s="102">
        <f>4.95</f>
        <v>4.95</v>
      </c>
      <c r="M50" s="101">
        <f>15.9</f>
        <v>15.9</v>
      </c>
      <c r="N50" s="102">
        <f>0</f>
        <v>0</v>
      </c>
      <c r="O50" s="101">
        <v>0</v>
      </c>
      <c r="P50" s="103">
        <f t="shared" si="6"/>
        <v>38.865000000000002</v>
      </c>
    </row>
    <row r="51" spans="1:30">
      <c r="A51" s="100" t="s">
        <v>104</v>
      </c>
      <c r="B51" s="101">
        <f>0</f>
        <v>0</v>
      </c>
      <c r="C51" s="101">
        <f>0</f>
        <v>0</v>
      </c>
      <c r="D51" s="101">
        <f>0</f>
        <v>0</v>
      </c>
      <c r="E51" s="101">
        <f>0</f>
        <v>0</v>
      </c>
      <c r="F51" s="101">
        <f>0</f>
        <v>0</v>
      </c>
      <c r="G51" s="101">
        <f>0</f>
        <v>0</v>
      </c>
      <c r="H51" s="101">
        <f>0</f>
        <v>0</v>
      </c>
      <c r="I51" s="101">
        <f>0</f>
        <v>0</v>
      </c>
      <c r="J51" s="101">
        <f>0</f>
        <v>0</v>
      </c>
      <c r="K51" s="101">
        <f>0</f>
        <v>0</v>
      </c>
      <c r="L51" s="101">
        <f>0</f>
        <v>0</v>
      </c>
      <c r="M51" s="102">
        <f>769</f>
        <v>769</v>
      </c>
      <c r="N51" s="101">
        <f>0</f>
        <v>0</v>
      </c>
      <c r="O51" s="102">
        <f>60</f>
        <v>60</v>
      </c>
      <c r="P51" s="103">
        <f t="shared" si="6"/>
        <v>59.214285714285715</v>
      </c>
    </row>
    <row r="52" spans="1:30">
      <c r="A52" s="56" t="s">
        <v>105</v>
      </c>
      <c r="B52" s="3"/>
      <c r="C52" s="3"/>
      <c r="D52" s="3"/>
      <c r="E52" s="3"/>
      <c r="F52" s="3"/>
      <c r="G52" s="4"/>
      <c r="H52" s="3"/>
      <c r="I52" s="3"/>
      <c r="J52" s="3"/>
      <c r="K52" s="3"/>
      <c r="L52" s="3"/>
      <c r="M52" s="3"/>
      <c r="N52" s="3"/>
      <c r="O52" s="3"/>
      <c r="P52" s="97"/>
    </row>
    <row r="53" spans="1:30">
      <c r="A53" s="105" t="s">
        <v>106</v>
      </c>
      <c r="B53" s="106">
        <f>0</f>
        <v>0</v>
      </c>
      <c r="C53" s="107">
        <f>31.66</f>
        <v>31.66</v>
      </c>
      <c r="D53" s="107">
        <f>155.51</f>
        <v>155.51</v>
      </c>
      <c r="E53" s="107">
        <f>191.14</f>
        <v>191.14</v>
      </c>
      <c r="F53" s="106">
        <f>0</f>
        <v>0</v>
      </c>
      <c r="G53" s="107">
        <f>15.97</f>
        <v>15.97</v>
      </c>
      <c r="H53" s="107">
        <f>0</f>
        <v>0</v>
      </c>
      <c r="I53" s="106">
        <f>0</f>
        <v>0</v>
      </c>
      <c r="J53" s="106">
        <f>0</f>
        <v>0</v>
      </c>
      <c r="K53" s="106">
        <f>15.99</f>
        <v>15.99</v>
      </c>
      <c r="L53" s="107">
        <f>555.82</f>
        <v>555.82000000000005</v>
      </c>
      <c r="M53" s="107">
        <f>0</f>
        <v>0</v>
      </c>
      <c r="N53" s="107">
        <f>0</f>
        <v>0</v>
      </c>
      <c r="O53" s="107">
        <f>33.6</f>
        <v>33.6</v>
      </c>
      <c r="P53" s="188" t="s">
        <v>210</v>
      </c>
    </row>
    <row r="54" spans="1:30">
      <c r="A54" s="105" t="s">
        <v>107</v>
      </c>
      <c r="B54" s="106">
        <f>0</f>
        <v>0</v>
      </c>
      <c r="C54" s="107">
        <f>2976.18</f>
        <v>2976.18</v>
      </c>
      <c r="D54" s="107">
        <f>2426.8</f>
        <v>2426.8000000000002</v>
      </c>
      <c r="E54" s="107">
        <f>362.62</f>
        <v>362.62</v>
      </c>
      <c r="F54" s="107">
        <f>20</f>
        <v>20</v>
      </c>
      <c r="G54" s="107">
        <f>0</f>
        <v>0</v>
      </c>
      <c r="H54" s="107">
        <f>0</f>
        <v>0</v>
      </c>
      <c r="I54" s="107">
        <f>665.4</f>
        <v>665.4</v>
      </c>
      <c r="J54" s="107">
        <f>3235.6</f>
        <v>3235.6</v>
      </c>
      <c r="K54" s="107">
        <f>741.56</f>
        <v>741.56</v>
      </c>
      <c r="L54" s="107">
        <f>99.99</f>
        <v>99.99</v>
      </c>
      <c r="M54" s="106">
        <f>0</f>
        <v>0</v>
      </c>
      <c r="N54" s="107">
        <f>637.96</f>
        <v>637.96</v>
      </c>
      <c r="O54" s="107">
        <f>700.8</f>
        <v>700.8</v>
      </c>
      <c r="P54" s="188"/>
    </row>
    <row r="55" spans="1:30">
      <c r="A55" s="105" t="s">
        <v>108</v>
      </c>
      <c r="B55" s="106">
        <f>0</f>
        <v>0</v>
      </c>
      <c r="C55" s="107">
        <f>0</f>
        <v>0</v>
      </c>
      <c r="D55" s="107">
        <f>98.13</f>
        <v>98.13</v>
      </c>
      <c r="E55" s="107">
        <f>1694.41</f>
        <v>1694.41</v>
      </c>
      <c r="F55" s="107">
        <f>0</f>
        <v>0</v>
      </c>
      <c r="G55" s="107">
        <f>0</f>
        <v>0</v>
      </c>
      <c r="H55" s="107">
        <f>300</f>
        <v>300</v>
      </c>
      <c r="I55" s="107">
        <f>0</f>
        <v>0</v>
      </c>
      <c r="J55" s="106">
        <f>0</f>
        <v>0</v>
      </c>
      <c r="K55" s="107">
        <f>300</f>
        <v>300</v>
      </c>
      <c r="L55" s="107">
        <f>3043.67</f>
        <v>3043.67</v>
      </c>
      <c r="M55" s="107">
        <f>0</f>
        <v>0</v>
      </c>
      <c r="N55" s="107">
        <f>192.66</f>
        <v>192.66</v>
      </c>
      <c r="O55" s="106">
        <f>2.97</f>
        <v>2.97</v>
      </c>
      <c r="P55" s="188"/>
    </row>
    <row r="56" spans="1:30">
      <c r="A56" s="105" t="s">
        <v>109</v>
      </c>
      <c r="B56" s="106">
        <f>0</f>
        <v>0</v>
      </c>
      <c r="C56" s="107">
        <f>0</f>
        <v>0</v>
      </c>
      <c r="D56" s="107">
        <f>463.67</f>
        <v>463.67</v>
      </c>
      <c r="E56" s="107">
        <f>242.03</f>
        <v>242.03</v>
      </c>
      <c r="F56" s="107">
        <f>113.3</f>
        <v>113.3</v>
      </c>
      <c r="G56" s="107">
        <f>0</f>
        <v>0</v>
      </c>
      <c r="H56" s="107">
        <f>56.68</f>
        <v>56.68</v>
      </c>
      <c r="I56" s="107">
        <f>191.26</f>
        <v>191.26</v>
      </c>
      <c r="J56" s="107">
        <f>0</f>
        <v>0</v>
      </c>
      <c r="K56" s="107">
        <f>0</f>
        <v>0</v>
      </c>
      <c r="L56" s="107">
        <f>26.37</f>
        <v>26.37</v>
      </c>
      <c r="M56" s="107">
        <f>5.94</f>
        <v>5.94</v>
      </c>
      <c r="N56" s="107">
        <f>26.25</f>
        <v>26.25</v>
      </c>
      <c r="O56" s="106">
        <f>29.86</f>
        <v>29.86</v>
      </c>
      <c r="P56" s="188"/>
    </row>
    <row r="57" spans="1:30">
      <c r="A57" s="105" t="s">
        <v>110</v>
      </c>
      <c r="B57" s="106">
        <f>0</f>
        <v>0</v>
      </c>
      <c r="C57" s="106">
        <f>0</f>
        <v>0</v>
      </c>
      <c r="D57" s="106">
        <f>3</f>
        <v>3</v>
      </c>
      <c r="E57" s="107">
        <f>0</f>
        <v>0</v>
      </c>
      <c r="F57" s="107">
        <f>0</f>
        <v>0</v>
      </c>
      <c r="G57" s="107">
        <f>384.9</f>
        <v>384.9</v>
      </c>
      <c r="H57" s="107">
        <f>0</f>
        <v>0</v>
      </c>
      <c r="I57" s="106">
        <f>0</f>
        <v>0</v>
      </c>
      <c r="J57" s="106">
        <f>0</f>
        <v>0</v>
      </c>
      <c r="K57" s="107">
        <f>0</f>
        <v>0</v>
      </c>
      <c r="L57" s="106">
        <f>42.34</f>
        <v>42.34</v>
      </c>
      <c r="M57" s="107">
        <f>0</f>
        <v>0</v>
      </c>
      <c r="N57" s="106">
        <f>0</f>
        <v>0</v>
      </c>
      <c r="O57" s="107">
        <f>0</f>
        <v>0</v>
      </c>
      <c r="P57" s="188"/>
    </row>
    <row r="58" spans="1:30">
      <c r="A58" s="105" t="s">
        <v>111</v>
      </c>
      <c r="B58" s="106">
        <f>0</f>
        <v>0</v>
      </c>
      <c r="C58" s="107">
        <f>0</f>
        <v>0</v>
      </c>
      <c r="D58" s="107">
        <f>134.74</f>
        <v>134.74</v>
      </c>
      <c r="E58" s="107">
        <f>80.77</f>
        <v>80.77</v>
      </c>
      <c r="F58" s="107">
        <f>3.5</f>
        <v>3.5</v>
      </c>
      <c r="G58" s="107">
        <f>0</f>
        <v>0</v>
      </c>
      <c r="H58" s="107">
        <f>18.53</f>
        <v>18.53</v>
      </c>
      <c r="I58" s="107">
        <f>2.5</f>
        <v>2.5</v>
      </c>
      <c r="J58" s="107">
        <f>2</f>
        <v>2</v>
      </c>
      <c r="K58" s="107">
        <f>12</f>
        <v>12</v>
      </c>
      <c r="L58" s="107">
        <f>126.2</f>
        <v>126.2</v>
      </c>
      <c r="M58" s="107">
        <f>5.25</f>
        <v>5.25</v>
      </c>
      <c r="N58" s="107">
        <f>0</f>
        <v>0</v>
      </c>
      <c r="O58" s="107">
        <f>0</f>
        <v>0</v>
      </c>
      <c r="P58" s="188"/>
    </row>
    <row r="59" spans="1:30">
      <c r="A59" s="105" t="s">
        <v>112</v>
      </c>
      <c r="B59" s="108">
        <f t="shared" ref="B59:O59" si="9">((((((B52)+(B53))+(B54))+(B55))+(B56))+(B57))+(B58)</f>
        <v>0</v>
      </c>
      <c r="C59" s="108">
        <f t="shared" si="9"/>
        <v>3007.8399999999997</v>
      </c>
      <c r="D59" s="108">
        <f t="shared" si="9"/>
        <v>3281.8500000000004</v>
      </c>
      <c r="E59" s="108">
        <f t="shared" si="9"/>
        <v>2570.9700000000003</v>
      </c>
      <c r="F59" s="108">
        <f t="shared" si="9"/>
        <v>136.80000000000001</v>
      </c>
      <c r="G59" s="108">
        <f t="shared" si="9"/>
        <v>400.87</v>
      </c>
      <c r="H59" s="108">
        <f t="shared" si="9"/>
        <v>375.21000000000004</v>
      </c>
      <c r="I59" s="108">
        <f t="shared" si="9"/>
        <v>859.16</v>
      </c>
      <c r="J59" s="108">
        <f t="shared" si="9"/>
        <v>3237.6</v>
      </c>
      <c r="K59" s="108">
        <f t="shared" si="9"/>
        <v>1069.55</v>
      </c>
      <c r="L59" s="108">
        <f t="shared" si="9"/>
        <v>3894.39</v>
      </c>
      <c r="M59" s="108">
        <f t="shared" si="9"/>
        <v>11.190000000000001</v>
      </c>
      <c r="N59" s="108">
        <f t="shared" si="9"/>
        <v>856.87</v>
      </c>
      <c r="O59" s="108">
        <f t="shared" si="9"/>
        <v>767.23</v>
      </c>
      <c r="P59" s="97"/>
    </row>
    <row r="60" spans="1:30">
      <c r="A60" s="56" t="s">
        <v>137</v>
      </c>
      <c r="B60" s="3"/>
      <c r="C60" s="3"/>
      <c r="D60" s="3"/>
      <c r="E60" s="3"/>
      <c r="F60" s="3"/>
      <c r="G60" s="4"/>
      <c r="H60" s="3"/>
      <c r="I60" s="3"/>
      <c r="J60" s="3"/>
      <c r="K60" s="4"/>
      <c r="L60" s="3"/>
      <c r="M60" s="3"/>
      <c r="N60" s="3"/>
      <c r="O60" s="4"/>
      <c r="P60" s="97"/>
    </row>
    <row r="61" spans="1:30">
      <c r="A61" s="56" t="s">
        <v>113</v>
      </c>
      <c r="B61" s="5">
        <f>((((((((((((((((((B30)))+(B31))+(B32))+(B36))+(B37))+(B38))+(B43))+(B44))+(B45))+(B46))+(B47))+(B48))+(B49))+(B50))+(B51))+(B59))+(B60)</f>
        <v>6276.99</v>
      </c>
      <c r="C61" s="5">
        <f t="shared" ref="C61:O61" si="10">((((((((((((((((((C30)))+(C31))+(C32))+(C36))+(C37))+(C38))+(C43))+(C44))+(C45))+(C46))+(C47))+(C48))+(C49))+(C50))+(C51))+(C59))+(C60)</f>
        <v>6774.25</v>
      </c>
      <c r="D61" s="5">
        <f t="shared" si="10"/>
        <v>10118.560000000001</v>
      </c>
      <c r="E61" s="5">
        <f t="shared" si="10"/>
        <v>3554.38</v>
      </c>
      <c r="F61" s="5">
        <f t="shared" si="10"/>
        <v>5677.31</v>
      </c>
      <c r="G61" s="5">
        <f t="shared" si="10"/>
        <v>6665</v>
      </c>
      <c r="H61" s="5">
        <f t="shared" si="10"/>
        <v>4922.5600000000004</v>
      </c>
      <c r="I61" s="5">
        <f t="shared" si="10"/>
        <v>1264.78</v>
      </c>
      <c r="J61" s="5">
        <f t="shared" si="10"/>
        <v>4494.9799999999996</v>
      </c>
      <c r="K61" s="5">
        <f t="shared" si="10"/>
        <v>1722.76</v>
      </c>
      <c r="L61" s="5">
        <f t="shared" si="10"/>
        <v>8868.17</v>
      </c>
      <c r="M61" s="5">
        <f t="shared" si="10"/>
        <v>3038.51</v>
      </c>
      <c r="N61" s="5">
        <f t="shared" si="10"/>
        <v>4947.7299999999996</v>
      </c>
      <c r="O61" s="5">
        <f t="shared" si="10"/>
        <v>1838.86</v>
      </c>
      <c r="P61" s="97"/>
    </row>
    <row r="62" spans="1:30">
      <c r="A62" s="100" t="s">
        <v>114</v>
      </c>
      <c r="B62" s="101"/>
      <c r="C62" s="101"/>
      <c r="D62" s="101"/>
      <c r="E62" s="101"/>
      <c r="F62" s="101"/>
      <c r="G62" s="101"/>
      <c r="H62" s="101"/>
      <c r="I62" s="101"/>
      <c r="J62" s="101"/>
      <c r="K62" s="101"/>
      <c r="L62" s="101"/>
      <c r="M62" s="101"/>
      <c r="N62" s="101"/>
      <c r="O62" s="101"/>
      <c r="P62" s="103"/>
    </row>
    <row r="63" spans="1:30">
      <c r="A63" s="100" t="s">
        <v>115</v>
      </c>
      <c r="B63" s="101">
        <v>538.74</v>
      </c>
      <c r="C63" s="102">
        <v>11.25</v>
      </c>
      <c r="D63" s="102">
        <v>99</v>
      </c>
      <c r="E63" s="102">
        <v>554.54</v>
      </c>
      <c r="F63" s="102">
        <v>567.95000000000005</v>
      </c>
      <c r="G63" s="102">
        <v>25</v>
      </c>
      <c r="H63" s="102">
        <v>532.23</v>
      </c>
      <c r="I63" s="102">
        <v>500</v>
      </c>
      <c r="J63" s="102">
        <v>278.95</v>
      </c>
      <c r="K63" s="102">
        <v>618.46</v>
      </c>
      <c r="L63" s="102">
        <v>111.25</v>
      </c>
      <c r="M63" s="102">
        <v>99</v>
      </c>
      <c r="N63" s="102">
        <v>529</v>
      </c>
      <c r="O63" s="102">
        <v>250.95</v>
      </c>
      <c r="P63" s="103">
        <f t="shared" si="6"/>
        <v>336.88</v>
      </c>
    </row>
    <row r="64" spans="1:30">
      <c r="A64" s="100" t="s">
        <v>116</v>
      </c>
      <c r="B64" s="101"/>
      <c r="C64" s="101">
        <v>12419</v>
      </c>
      <c r="D64" s="102"/>
      <c r="E64" s="102"/>
      <c r="F64" s="102"/>
      <c r="G64" s="102">
        <v>13270</v>
      </c>
      <c r="H64" s="101">
        <v>229</v>
      </c>
      <c r="I64" s="101"/>
      <c r="J64" s="101"/>
      <c r="K64" s="102"/>
      <c r="L64" s="102">
        <v>229</v>
      </c>
      <c r="M64" s="101"/>
      <c r="N64" s="102"/>
      <c r="O64" s="102"/>
      <c r="P64" s="103">
        <f t="shared" si="6"/>
        <v>6536.75</v>
      </c>
    </row>
    <row r="65" spans="1:23">
      <c r="A65" s="56" t="s">
        <v>117</v>
      </c>
      <c r="B65" s="5">
        <f t="shared" ref="B65:O65" si="11">(B63)+(B64)</f>
        <v>538.74</v>
      </c>
      <c r="C65" s="5">
        <f t="shared" si="11"/>
        <v>12430.25</v>
      </c>
      <c r="D65" s="5">
        <f t="shared" si="11"/>
        <v>99</v>
      </c>
      <c r="E65" s="5">
        <f t="shared" si="11"/>
        <v>554.54</v>
      </c>
      <c r="F65" s="5">
        <f t="shared" si="11"/>
        <v>567.95000000000005</v>
      </c>
      <c r="G65" s="5">
        <f t="shared" si="11"/>
        <v>13295</v>
      </c>
      <c r="H65" s="5">
        <f t="shared" si="11"/>
        <v>761.23</v>
      </c>
      <c r="I65" s="5">
        <f t="shared" si="11"/>
        <v>500</v>
      </c>
      <c r="J65" s="5">
        <f t="shared" si="11"/>
        <v>278.95</v>
      </c>
      <c r="K65" s="5">
        <f t="shared" si="11"/>
        <v>618.46</v>
      </c>
      <c r="L65" s="5">
        <f t="shared" si="11"/>
        <v>340.25</v>
      </c>
      <c r="M65" s="5">
        <f t="shared" si="11"/>
        <v>99</v>
      </c>
      <c r="N65" s="5">
        <f t="shared" si="11"/>
        <v>529</v>
      </c>
      <c r="O65" s="5">
        <f t="shared" si="11"/>
        <v>250.95</v>
      </c>
      <c r="P65" s="97"/>
    </row>
    <row r="66" spans="1:23">
      <c r="A66" s="56" t="s">
        <v>118</v>
      </c>
      <c r="B66" s="5">
        <f t="shared" ref="B66:O66" si="12">(B62)+(B65)</f>
        <v>538.74</v>
      </c>
      <c r="C66" s="5">
        <f t="shared" si="12"/>
        <v>12430.25</v>
      </c>
      <c r="D66" s="5">
        <f t="shared" si="12"/>
        <v>99</v>
      </c>
      <c r="E66" s="5">
        <f t="shared" si="12"/>
        <v>554.54</v>
      </c>
      <c r="F66" s="5">
        <f t="shared" si="12"/>
        <v>567.95000000000005</v>
      </c>
      <c r="G66" s="5">
        <f t="shared" si="12"/>
        <v>13295</v>
      </c>
      <c r="H66" s="5">
        <f t="shared" si="12"/>
        <v>761.23</v>
      </c>
      <c r="I66" s="5">
        <f t="shared" si="12"/>
        <v>500</v>
      </c>
      <c r="J66" s="5">
        <f t="shared" si="12"/>
        <v>278.95</v>
      </c>
      <c r="K66" s="5">
        <f t="shared" si="12"/>
        <v>618.46</v>
      </c>
      <c r="L66" s="5">
        <f t="shared" si="12"/>
        <v>340.25</v>
      </c>
      <c r="M66" s="5">
        <f t="shared" si="12"/>
        <v>99</v>
      </c>
      <c r="N66" s="5">
        <f t="shared" si="12"/>
        <v>529</v>
      </c>
      <c r="O66" s="5">
        <f t="shared" si="12"/>
        <v>250.95</v>
      </c>
      <c r="P66" s="97"/>
    </row>
    <row r="67" spans="1:23" ht="15" customHeight="1">
      <c r="A67" s="109" t="s">
        <v>119</v>
      </c>
      <c r="B67" s="110">
        <f>0</f>
        <v>0</v>
      </c>
      <c r="C67" s="110">
        <f>0</f>
        <v>0</v>
      </c>
      <c r="D67" s="110">
        <f>0</f>
        <v>0</v>
      </c>
      <c r="E67" s="110">
        <f>0</f>
        <v>0</v>
      </c>
      <c r="F67" s="110">
        <f>0</f>
        <v>0</v>
      </c>
      <c r="G67" s="110">
        <f>0</f>
        <v>0</v>
      </c>
      <c r="H67" s="110">
        <f>0</f>
        <v>0</v>
      </c>
      <c r="I67" s="110">
        <f>0</f>
        <v>0</v>
      </c>
      <c r="J67" s="110">
        <f>0</f>
        <v>0</v>
      </c>
      <c r="K67" s="110">
        <f>0</f>
        <v>0</v>
      </c>
      <c r="L67" s="110">
        <f>0</f>
        <v>0</v>
      </c>
      <c r="M67" s="110">
        <f>0</f>
        <v>0</v>
      </c>
      <c r="N67" s="110">
        <f>0</f>
        <v>0</v>
      </c>
      <c r="O67" s="110">
        <f>0</f>
        <v>0</v>
      </c>
      <c r="P67" s="192" t="s">
        <v>209</v>
      </c>
    </row>
    <row r="68" spans="1:23">
      <c r="A68" s="109" t="s">
        <v>120</v>
      </c>
      <c r="B68" s="110">
        <v>16250.01</v>
      </c>
      <c r="C68" s="110">
        <v>26250.01</v>
      </c>
      <c r="D68" s="111">
        <v>5000</v>
      </c>
      <c r="E68" s="110"/>
      <c r="F68" s="111">
        <v>19583.349999999999</v>
      </c>
      <c r="G68" s="111"/>
      <c r="H68" s="111">
        <v>26250.01</v>
      </c>
      <c r="I68" s="110">
        <v>5000</v>
      </c>
      <c r="J68" s="111">
        <v>31250.01</v>
      </c>
      <c r="K68" s="111">
        <v>-11666.66</v>
      </c>
      <c r="L68" s="110">
        <v>5000</v>
      </c>
      <c r="M68" s="111">
        <v>26250.01</v>
      </c>
      <c r="N68" s="110"/>
      <c r="O68" s="111">
        <v>19583.349999999999</v>
      </c>
      <c r="P68" s="192"/>
    </row>
    <row r="69" spans="1:23">
      <c r="A69" s="109" t="s">
        <v>121</v>
      </c>
      <c r="B69" s="110">
        <v>1243.1199999999999</v>
      </c>
      <c r="C69" s="110">
        <v>1927.86</v>
      </c>
      <c r="D69" s="111"/>
      <c r="E69" s="110"/>
      <c r="F69" s="110">
        <v>1927.82</v>
      </c>
      <c r="G69" s="110"/>
      <c r="H69" s="111">
        <v>1939.86</v>
      </c>
      <c r="I69" s="110"/>
      <c r="J69" s="110">
        <v>1927.84</v>
      </c>
      <c r="K69" s="110"/>
      <c r="L69" s="110"/>
      <c r="M69" s="110">
        <v>1939.85</v>
      </c>
      <c r="N69" s="110"/>
      <c r="O69" s="110">
        <v>1927.85</v>
      </c>
      <c r="P69" s="192"/>
    </row>
    <row r="70" spans="1:23">
      <c r="A70" s="109" t="s">
        <v>206</v>
      </c>
      <c r="B70" s="110"/>
      <c r="C70" s="110">
        <v>16</v>
      </c>
      <c r="D70" s="111">
        <v>91.25</v>
      </c>
      <c r="E70" s="110"/>
      <c r="F70" s="111"/>
      <c r="G70" s="111"/>
      <c r="H70" s="111">
        <v>4</v>
      </c>
      <c r="I70" s="110"/>
      <c r="J70" s="110"/>
      <c r="K70" s="110"/>
      <c r="L70" s="110"/>
      <c r="M70" s="110">
        <v>4</v>
      </c>
      <c r="N70" s="110"/>
      <c r="O70" s="110"/>
      <c r="P70" s="192"/>
    </row>
    <row r="71" spans="1:23">
      <c r="A71" s="109" t="s">
        <v>122</v>
      </c>
      <c r="B71" s="110"/>
      <c r="C71" s="110"/>
      <c r="D71" s="111"/>
      <c r="E71" s="110"/>
      <c r="F71" s="111"/>
      <c r="G71" s="111"/>
      <c r="H71" s="111"/>
      <c r="I71" s="111"/>
      <c r="J71" s="111">
        <v>130</v>
      </c>
      <c r="K71" s="110"/>
      <c r="L71" s="110"/>
      <c r="M71" s="111"/>
      <c r="N71" s="110"/>
      <c r="O71" s="111"/>
      <c r="P71" s="192"/>
    </row>
    <row r="72" spans="1:23">
      <c r="A72" s="109" t="s">
        <v>123</v>
      </c>
      <c r="B72" s="111">
        <v>172.37</v>
      </c>
      <c r="C72" s="110"/>
      <c r="D72" s="111"/>
      <c r="E72" s="110"/>
      <c r="F72" s="111"/>
      <c r="G72" s="111">
        <v>172.37</v>
      </c>
      <c r="H72" s="111"/>
      <c r="I72" s="111"/>
      <c r="J72" s="111"/>
      <c r="K72" s="110"/>
      <c r="L72" s="110"/>
      <c r="M72" s="110"/>
      <c r="N72" s="111">
        <v>172.37</v>
      </c>
      <c r="O72" s="110"/>
      <c r="P72" s="192"/>
    </row>
    <row r="73" spans="1:23">
      <c r="A73" s="109" t="s">
        <v>124</v>
      </c>
      <c r="B73" s="110">
        <v>71</v>
      </c>
      <c r="C73" s="111"/>
      <c r="D73" s="110"/>
      <c r="E73" s="110"/>
      <c r="F73" s="110">
        <v>71</v>
      </c>
      <c r="G73" s="111"/>
      <c r="H73" s="110"/>
      <c r="I73" s="110"/>
      <c r="J73" s="110"/>
      <c r="K73" s="110">
        <v>71</v>
      </c>
      <c r="L73" s="110"/>
      <c r="M73" s="110"/>
      <c r="N73" s="110"/>
      <c r="O73" s="110"/>
      <c r="P73" s="192"/>
    </row>
    <row r="74" spans="1:23">
      <c r="A74" s="109" t="s">
        <v>125</v>
      </c>
      <c r="B74" s="112">
        <f>((((((((B67)+(B68))+(B69))+(B70))+(B71))+(B72))+(B73)))</f>
        <v>17736.5</v>
      </c>
      <c r="C74" s="112">
        <f t="shared" ref="C74:O74" si="13">((((((((C67)+(C68))+(C69))+(C70))+(C71))+(C72))+(C73)))</f>
        <v>28193.87</v>
      </c>
      <c r="D74" s="112">
        <f t="shared" si="13"/>
        <v>5091.25</v>
      </c>
      <c r="E74" s="112">
        <f t="shared" si="13"/>
        <v>0</v>
      </c>
      <c r="F74" s="112">
        <f t="shared" si="13"/>
        <v>21582.17</v>
      </c>
      <c r="G74" s="112">
        <f t="shared" si="13"/>
        <v>172.37</v>
      </c>
      <c r="H74" s="112">
        <f t="shared" si="13"/>
        <v>28193.87</v>
      </c>
      <c r="I74" s="112">
        <f t="shared" si="13"/>
        <v>5000</v>
      </c>
      <c r="J74" s="112">
        <f t="shared" si="13"/>
        <v>33307.85</v>
      </c>
      <c r="K74" s="112">
        <f t="shared" si="13"/>
        <v>-11595.66</v>
      </c>
      <c r="L74" s="112">
        <f t="shared" si="13"/>
        <v>5000</v>
      </c>
      <c r="M74" s="112">
        <f t="shared" si="13"/>
        <v>28193.859999999997</v>
      </c>
      <c r="N74" s="112">
        <f t="shared" si="13"/>
        <v>172.37</v>
      </c>
      <c r="O74" s="112">
        <f t="shared" si="13"/>
        <v>21511.199999999997</v>
      </c>
      <c r="P74" s="192"/>
    </row>
    <row r="75" spans="1:23">
      <c r="A75" s="56" t="s">
        <v>7</v>
      </c>
      <c r="B75" s="3">
        <f>0</f>
        <v>0</v>
      </c>
      <c r="C75" s="3">
        <f>0</f>
        <v>0</v>
      </c>
      <c r="D75" s="3">
        <f>0</f>
        <v>0</v>
      </c>
      <c r="E75" s="3">
        <f>0</f>
        <v>0</v>
      </c>
      <c r="F75" s="3">
        <f>0</f>
        <v>0</v>
      </c>
      <c r="G75" s="3">
        <f>0</f>
        <v>0</v>
      </c>
      <c r="H75" s="3">
        <f>0</f>
        <v>0</v>
      </c>
      <c r="I75" s="4">
        <f>0</f>
        <v>0</v>
      </c>
      <c r="J75" s="3">
        <f>0</f>
        <v>0</v>
      </c>
      <c r="K75" s="3">
        <f>0</f>
        <v>0</v>
      </c>
      <c r="L75" s="3">
        <f>0</f>
        <v>0</v>
      </c>
      <c r="M75" s="3">
        <f>0</f>
        <v>0</v>
      </c>
      <c r="N75" s="4">
        <f>160</f>
        <v>160</v>
      </c>
      <c r="O75" s="3">
        <f>0</f>
        <v>0</v>
      </c>
      <c r="P75" s="97">
        <f t="shared" si="6"/>
        <v>11.428571428571429</v>
      </c>
    </row>
    <row r="76" spans="1:23">
      <c r="A76" s="56" t="s">
        <v>8</v>
      </c>
      <c r="B76" s="5">
        <f t="shared" ref="B76:O76" si="14">(((B61)+(B66))+(B74))+(B75)</f>
        <v>24552.23</v>
      </c>
      <c r="C76" s="5">
        <f t="shared" si="14"/>
        <v>47398.369999999995</v>
      </c>
      <c r="D76" s="5">
        <f t="shared" si="14"/>
        <v>15308.810000000001</v>
      </c>
      <c r="E76" s="5">
        <f t="shared" si="14"/>
        <v>4108.92</v>
      </c>
      <c r="F76" s="5">
        <f t="shared" si="14"/>
        <v>27827.43</v>
      </c>
      <c r="G76" s="5">
        <f t="shared" si="14"/>
        <v>20132.37</v>
      </c>
      <c r="H76" s="5">
        <f t="shared" si="14"/>
        <v>33877.660000000003</v>
      </c>
      <c r="I76" s="5">
        <f t="shared" si="14"/>
        <v>6764.78</v>
      </c>
      <c r="J76" s="5">
        <f t="shared" si="14"/>
        <v>38081.78</v>
      </c>
      <c r="K76" s="5">
        <f t="shared" si="14"/>
        <v>-9254.4399999999987</v>
      </c>
      <c r="L76" s="5">
        <f t="shared" si="14"/>
        <v>14208.42</v>
      </c>
      <c r="M76" s="5">
        <f t="shared" si="14"/>
        <v>31331.369999999995</v>
      </c>
      <c r="N76" s="5">
        <f t="shared" si="14"/>
        <v>5809.0999999999995</v>
      </c>
      <c r="O76" s="5">
        <f t="shared" si="14"/>
        <v>23601.01</v>
      </c>
      <c r="P76" s="97"/>
    </row>
    <row r="77" spans="1:23">
      <c r="A77" s="56" t="s">
        <v>9</v>
      </c>
      <c r="B77" s="5">
        <f t="shared" ref="B77:O77" si="15">(B28)-(B76)</f>
        <v>-24552.23</v>
      </c>
      <c r="C77" s="5">
        <f t="shared" si="15"/>
        <v>-47398.369999999995</v>
      </c>
      <c r="D77" s="5">
        <f t="shared" si="15"/>
        <v>-15308.810000000001</v>
      </c>
      <c r="E77" s="5">
        <f t="shared" si="15"/>
        <v>-4108.92</v>
      </c>
      <c r="F77" s="5">
        <f t="shared" si="15"/>
        <v>-27827.43</v>
      </c>
      <c r="G77" s="5">
        <f t="shared" si="15"/>
        <v>-20132.37</v>
      </c>
      <c r="H77" s="5">
        <f t="shared" si="15"/>
        <v>-33877.660000000003</v>
      </c>
      <c r="I77" s="5">
        <f t="shared" si="15"/>
        <v>-6764.78</v>
      </c>
      <c r="J77" s="5">
        <f t="shared" si="15"/>
        <v>-38081.78</v>
      </c>
      <c r="K77" s="5">
        <f t="shared" si="15"/>
        <v>9254.4399999999987</v>
      </c>
      <c r="L77" s="5">
        <f t="shared" si="15"/>
        <v>-14208.42</v>
      </c>
      <c r="M77" s="5">
        <f t="shared" si="15"/>
        <v>-31331.369999999995</v>
      </c>
      <c r="N77" s="5">
        <f t="shared" si="15"/>
        <v>-5809.0999999999995</v>
      </c>
      <c r="O77" s="5">
        <f t="shared" si="15"/>
        <v>-23601.01</v>
      </c>
      <c r="P77" s="97"/>
    </row>
    <row r="78" spans="1:23">
      <c r="A78" s="56" t="s">
        <v>10</v>
      </c>
      <c r="B78" s="3">
        <f>0</f>
        <v>0</v>
      </c>
      <c r="C78" s="3">
        <f>0</f>
        <v>0</v>
      </c>
      <c r="D78" s="3">
        <f>0</f>
        <v>0</v>
      </c>
      <c r="E78" s="3">
        <f>0</f>
        <v>0</v>
      </c>
      <c r="F78" s="3">
        <f>0</f>
        <v>0</v>
      </c>
      <c r="G78" s="3">
        <f>0</f>
        <v>0</v>
      </c>
      <c r="H78" s="3">
        <f>0</f>
        <v>0</v>
      </c>
      <c r="I78" s="3">
        <f>0</f>
        <v>0</v>
      </c>
      <c r="J78" s="3">
        <f>0</f>
        <v>0</v>
      </c>
      <c r="K78" s="3">
        <f>0</f>
        <v>0</v>
      </c>
      <c r="L78" s="3">
        <f>0</f>
        <v>0</v>
      </c>
      <c r="M78" s="3">
        <f>0</f>
        <v>0</v>
      </c>
      <c r="N78" s="3">
        <f>0</f>
        <v>0</v>
      </c>
      <c r="O78" s="3">
        <f>0</f>
        <v>0</v>
      </c>
      <c r="P78" s="97">
        <f t="shared" si="6"/>
        <v>0</v>
      </c>
    </row>
    <row r="79" spans="1:23">
      <c r="A79" s="120" t="s">
        <v>81</v>
      </c>
      <c r="B79" s="121">
        <f>0</f>
        <v>0</v>
      </c>
      <c r="C79" s="121">
        <f>0</f>
        <v>0</v>
      </c>
      <c r="D79" s="121">
        <f>0</f>
        <v>0</v>
      </c>
      <c r="E79" s="121">
        <f>0</f>
        <v>0</v>
      </c>
      <c r="F79" s="121">
        <f>0</f>
        <v>0</v>
      </c>
      <c r="G79" s="122">
        <f>305.01</f>
        <v>305.01</v>
      </c>
      <c r="H79" s="121">
        <f>0</f>
        <v>0</v>
      </c>
      <c r="I79" s="121">
        <f>0</f>
        <v>0</v>
      </c>
      <c r="J79" s="121">
        <f>0</f>
        <v>0</v>
      </c>
      <c r="K79" s="122">
        <f>305.01</f>
        <v>305.01</v>
      </c>
      <c r="L79" s="121">
        <f>0</f>
        <v>0</v>
      </c>
      <c r="M79" s="121">
        <f>0</f>
        <v>0</v>
      </c>
      <c r="N79" s="121">
        <f>0</f>
        <v>0</v>
      </c>
      <c r="O79" s="122">
        <f>305.01</f>
        <v>305.01</v>
      </c>
      <c r="P79" s="123">
        <f t="shared" si="6"/>
        <v>65.359285714285718</v>
      </c>
      <c r="Q79" s="182" t="s">
        <v>213</v>
      </c>
      <c r="R79" s="182"/>
      <c r="S79" s="182"/>
      <c r="T79" s="182"/>
      <c r="U79" s="182"/>
      <c r="V79" s="182"/>
      <c r="W79" s="182"/>
    </row>
    <row r="80" spans="1:23">
      <c r="A80" s="124" t="s">
        <v>82</v>
      </c>
      <c r="B80" s="125">
        <f>0</f>
        <v>0</v>
      </c>
      <c r="C80" s="125">
        <f>0</f>
        <v>0</v>
      </c>
      <c r="D80" s="126">
        <f>303.22</f>
        <v>303.22000000000003</v>
      </c>
      <c r="E80" s="125">
        <f>0</f>
        <v>0</v>
      </c>
      <c r="F80" s="125">
        <f>0</f>
        <v>0</v>
      </c>
      <c r="G80" s="126">
        <f>353.91</f>
        <v>353.91</v>
      </c>
      <c r="H80" s="126">
        <f>238.4</f>
        <v>238.4</v>
      </c>
      <c r="I80" s="126">
        <f>74.56</f>
        <v>74.56</v>
      </c>
      <c r="J80" s="125">
        <f>0</f>
        <v>0</v>
      </c>
      <c r="K80" s="126">
        <f>104.77</f>
        <v>104.77</v>
      </c>
      <c r="L80" s="126">
        <f>125.79</f>
        <v>125.79</v>
      </c>
      <c r="M80" s="126">
        <f>204.42</f>
        <v>204.42</v>
      </c>
      <c r="N80" s="126">
        <f>903.29</f>
        <v>903.29</v>
      </c>
      <c r="O80" s="126">
        <f>100.71</f>
        <v>100.71</v>
      </c>
      <c r="P80" s="127">
        <f t="shared" si="6"/>
        <v>172.07642857142858</v>
      </c>
      <c r="Q80" s="183" t="s">
        <v>214</v>
      </c>
      <c r="R80" s="183"/>
      <c r="S80" s="183"/>
      <c r="T80" s="183"/>
      <c r="U80" s="183"/>
      <c r="V80" s="183"/>
      <c r="W80" s="183"/>
    </row>
    <row r="81" spans="1:16">
      <c r="A81" s="56" t="s">
        <v>11</v>
      </c>
      <c r="B81" s="5">
        <f t="shared" ref="B81:O81" si="16">(B79)+(B80)</f>
        <v>0</v>
      </c>
      <c r="C81" s="5">
        <f t="shared" si="16"/>
        <v>0</v>
      </c>
      <c r="D81" s="5">
        <f t="shared" si="16"/>
        <v>303.22000000000003</v>
      </c>
      <c r="E81" s="5">
        <f t="shared" si="16"/>
        <v>0</v>
      </c>
      <c r="F81" s="5">
        <f t="shared" si="16"/>
        <v>0</v>
      </c>
      <c r="G81" s="5">
        <f t="shared" si="16"/>
        <v>658.92000000000007</v>
      </c>
      <c r="H81" s="5">
        <f t="shared" si="16"/>
        <v>238.4</v>
      </c>
      <c r="I81" s="5">
        <f t="shared" si="16"/>
        <v>74.56</v>
      </c>
      <c r="J81" s="5">
        <f t="shared" si="16"/>
        <v>0</v>
      </c>
      <c r="K81" s="5">
        <f t="shared" si="16"/>
        <v>409.78</v>
      </c>
      <c r="L81" s="5">
        <f t="shared" si="16"/>
        <v>125.79</v>
      </c>
      <c r="M81" s="5">
        <f t="shared" si="16"/>
        <v>204.42</v>
      </c>
      <c r="N81" s="5">
        <f t="shared" si="16"/>
        <v>903.29</v>
      </c>
      <c r="O81" s="5">
        <f t="shared" si="16"/>
        <v>405.71999999999997</v>
      </c>
      <c r="P81" s="97"/>
    </row>
    <row r="82" spans="1:16">
      <c r="A82" s="56" t="s">
        <v>12</v>
      </c>
      <c r="B82" s="5">
        <f t="shared" ref="B82:O82" si="17">(0)-(B81)</f>
        <v>0</v>
      </c>
      <c r="C82" s="5">
        <f t="shared" si="17"/>
        <v>0</v>
      </c>
      <c r="D82" s="5">
        <f t="shared" si="17"/>
        <v>-303.22000000000003</v>
      </c>
      <c r="E82" s="5">
        <f t="shared" si="17"/>
        <v>0</v>
      </c>
      <c r="F82" s="5">
        <f t="shared" si="17"/>
        <v>0</v>
      </c>
      <c r="G82" s="5">
        <f t="shared" si="17"/>
        <v>-658.92000000000007</v>
      </c>
      <c r="H82" s="5">
        <f t="shared" si="17"/>
        <v>-238.4</v>
      </c>
      <c r="I82" s="5">
        <f t="shared" si="17"/>
        <v>-74.56</v>
      </c>
      <c r="J82" s="5">
        <f t="shared" si="17"/>
        <v>0</v>
      </c>
      <c r="K82" s="5">
        <f t="shared" si="17"/>
        <v>-409.78</v>
      </c>
      <c r="L82" s="5">
        <f t="shared" si="17"/>
        <v>-125.79</v>
      </c>
      <c r="M82" s="5">
        <f t="shared" si="17"/>
        <v>-204.42</v>
      </c>
      <c r="N82" s="5">
        <f t="shared" si="17"/>
        <v>-903.29</v>
      </c>
      <c r="O82" s="5">
        <f t="shared" si="17"/>
        <v>-405.71999999999997</v>
      </c>
      <c r="P82" s="97"/>
    </row>
    <row r="83" spans="1:16">
      <c r="A83" s="56" t="s">
        <v>13</v>
      </c>
      <c r="B83" s="5">
        <f t="shared" ref="B83:O83" si="18">(B77)+(B82)</f>
        <v>-24552.23</v>
      </c>
      <c r="C83" s="5">
        <f t="shared" si="18"/>
        <v>-47398.369999999995</v>
      </c>
      <c r="D83" s="5">
        <f t="shared" si="18"/>
        <v>-15612.03</v>
      </c>
      <c r="E83" s="5">
        <f t="shared" si="18"/>
        <v>-4108.92</v>
      </c>
      <c r="F83" s="5">
        <f t="shared" si="18"/>
        <v>-27827.43</v>
      </c>
      <c r="G83" s="5">
        <f t="shared" si="18"/>
        <v>-20791.29</v>
      </c>
      <c r="H83" s="5">
        <f t="shared" si="18"/>
        <v>-34116.060000000005</v>
      </c>
      <c r="I83" s="5">
        <f t="shared" si="18"/>
        <v>-6839.34</v>
      </c>
      <c r="J83" s="5">
        <f t="shared" si="18"/>
        <v>-38081.78</v>
      </c>
      <c r="K83" s="5">
        <f t="shared" si="18"/>
        <v>8844.659999999998</v>
      </c>
      <c r="L83" s="5">
        <f t="shared" si="18"/>
        <v>-14334.210000000001</v>
      </c>
      <c r="M83" s="5">
        <f t="shared" si="18"/>
        <v>-31535.789999999994</v>
      </c>
      <c r="N83" s="5">
        <f t="shared" si="18"/>
        <v>-6712.3899999999994</v>
      </c>
      <c r="O83" s="5">
        <f t="shared" si="18"/>
        <v>-24006.73</v>
      </c>
      <c r="P83" s="97"/>
    </row>
    <row r="84" spans="1:16">
      <c r="A84" s="56"/>
      <c r="B84" s="3"/>
      <c r="C84" s="3"/>
      <c r="D84" s="3"/>
      <c r="E84" s="3"/>
      <c r="F84" s="3"/>
      <c r="G84" s="3"/>
      <c r="H84" s="3"/>
      <c r="I84" s="3"/>
      <c r="J84" s="3"/>
      <c r="K84" s="3"/>
      <c r="L84" s="3"/>
      <c r="M84" s="3"/>
      <c r="N84" s="3"/>
      <c r="O84" s="3"/>
    </row>
    <row r="87" spans="1:16">
      <c r="A87" s="178" t="s">
        <v>207</v>
      </c>
      <c r="B87" s="179"/>
      <c r="C87" s="179"/>
      <c r="D87" s="179"/>
      <c r="E87" s="179"/>
      <c r="F87" s="179"/>
      <c r="G87" s="179"/>
      <c r="H87" s="179"/>
      <c r="I87" s="179"/>
      <c r="J87" s="179"/>
      <c r="K87" s="179"/>
      <c r="L87" s="179"/>
      <c r="M87" s="179"/>
      <c r="N87" s="179"/>
      <c r="O87" s="179"/>
    </row>
  </sheetData>
  <mergeCells count="13">
    <mergeCell ref="A87:O87"/>
    <mergeCell ref="P53:P58"/>
    <mergeCell ref="B21:O24"/>
    <mergeCell ref="B19:O20"/>
    <mergeCell ref="P67:P74"/>
    <mergeCell ref="Q49:AD49"/>
    <mergeCell ref="Q47:AD47"/>
    <mergeCell ref="Q79:W79"/>
    <mergeCell ref="Q80:W80"/>
    <mergeCell ref="A1:O1"/>
    <mergeCell ref="A2:O2"/>
    <mergeCell ref="A3:O3"/>
    <mergeCell ref="A4:R4"/>
  </mergeCells>
  <pageMargins left="0.7" right="0.7" top="0.75" bottom="0.75" header="0.3" footer="0.3"/>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N31"/>
  <sheetViews>
    <sheetView zoomScale="125" zoomScaleNormal="125" zoomScalePageLayoutView="125" workbookViewId="0">
      <selection activeCell="C18" sqref="C18"/>
    </sheetView>
  </sheetViews>
  <sheetFormatPr baseColWidth="10" defaultRowHeight="15"/>
  <cols>
    <col min="1" max="1" width="24.5" bestFit="1" customWidth="1"/>
  </cols>
  <sheetData>
    <row r="1" spans="1:14">
      <c r="A1" t="s">
        <v>65</v>
      </c>
    </row>
    <row r="2" spans="1:14" s="57" customFormat="1">
      <c r="C2" s="9">
        <v>42611</v>
      </c>
      <c r="D2" s="9">
        <v>42642</v>
      </c>
      <c r="E2" s="9">
        <v>42672</v>
      </c>
      <c r="F2" s="9">
        <v>42703</v>
      </c>
      <c r="G2" s="9">
        <f t="shared" ref="G2" si="0">EDATE(F2,1)</f>
        <v>42733</v>
      </c>
      <c r="H2" s="9">
        <f t="shared" ref="H2" si="1">EDATE(G2,1)</f>
        <v>42764</v>
      </c>
      <c r="I2" s="9">
        <f t="shared" ref="I2" si="2">EDATE(H2,1)</f>
        <v>42794</v>
      </c>
      <c r="J2" s="9">
        <f t="shared" ref="J2" si="3">EDATE(I2,1)</f>
        <v>42822</v>
      </c>
      <c r="K2" s="9">
        <f t="shared" ref="K2" si="4">EDATE(J2,1)</f>
        <v>42853</v>
      </c>
      <c r="L2" s="9">
        <f t="shared" ref="L2" si="5">EDATE(K2,1)</f>
        <v>42883</v>
      </c>
      <c r="M2" s="9">
        <f t="shared" ref="M2" si="6">EDATE(L2,1)</f>
        <v>42914</v>
      </c>
      <c r="N2" s="9">
        <f t="shared" ref="N2" si="7">EDATE(M2,1)</f>
        <v>42944</v>
      </c>
    </row>
    <row r="3" spans="1:14">
      <c r="A3" t="s">
        <v>187</v>
      </c>
      <c r="B3" t="s">
        <v>242</v>
      </c>
      <c r="C3" s="139">
        <v>1</v>
      </c>
      <c r="D3" s="139">
        <v>2</v>
      </c>
      <c r="E3" s="139">
        <v>1</v>
      </c>
      <c r="F3" s="139">
        <v>3</v>
      </c>
      <c r="G3" s="139">
        <v>1</v>
      </c>
      <c r="H3" s="139">
        <v>1</v>
      </c>
      <c r="I3" s="139">
        <v>1</v>
      </c>
      <c r="J3" s="139">
        <v>1</v>
      </c>
      <c r="K3" s="139">
        <v>1</v>
      </c>
      <c r="L3" s="139">
        <v>1</v>
      </c>
      <c r="M3" s="139">
        <v>1</v>
      </c>
      <c r="N3" s="139">
        <v>1</v>
      </c>
    </row>
    <row r="4" spans="1:14">
      <c r="H4" s="89"/>
      <c r="I4" s="89"/>
      <c r="J4" s="89"/>
      <c r="K4" s="89"/>
      <c r="L4" s="89"/>
      <c r="M4" s="89"/>
      <c r="N4" s="89"/>
    </row>
    <row r="5" spans="1:14">
      <c r="H5" s="89"/>
      <c r="I5" s="89"/>
      <c r="J5" s="89"/>
      <c r="K5" s="89"/>
      <c r="L5" s="89"/>
      <c r="M5" s="89"/>
      <c r="N5" s="89"/>
    </row>
    <row r="6" spans="1:14" s="57" customFormat="1">
      <c r="A6" s="57" t="s">
        <v>76</v>
      </c>
      <c r="B6" s="89" t="s">
        <v>242</v>
      </c>
      <c r="C6" s="138">
        <v>4</v>
      </c>
      <c r="D6" s="138">
        <v>1</v>
      </c>
      <c r="E6" s="138">
        <v>2</v>
      </c>
      <c r="F6" s="138">
        <v>2</v>
      </c>
      <c r="G6" s="138">
        <v>2</v>
      </c>
      <c r="H6" s="138">
        <v>2</v>
      </c>
      <c r="I6" s="138">
        <v>2</v>
      </c>
      <c r="J6" s="138">
        <v>2</v>
      </c>
      <c r="K6" s="138">
        <v>2</v>
      </c>
      <c r="L6" s="138">
        <v>2</v>
      </c>
      <c r="M6" s="138">
        <v>2</v>
      </c>
      <c r="N6" s="138">
        <v>2</v>
      </c>
    </row>
    <row r="7" spans="1:14" s="57" customFormat="1">
      <c r="A7" s="57" t="s">
        <v>77</v>
      </c>
      <c r="B7" s="89" t="s">
        <v>242</v>
      </c>
      <c r="C7" s="138">
        <v>1</v>
      </c>
      <c r="D7" s="138">
        <v>0</v>
      </c>
      <c r="E7" s="138">
        <v>0</v>
      </c>
      <c r="F7" s="138">
        <v>0</v>
      </c>
      <c r="G7" s="138">
        <v>0</v>
      </c>
      <c r="H7" s="138">
        <v>0</v>
      </c>
      <c r="I7" s="138">
        <v>0</v>
      </c>
      <c r="J7" s="138">
        <v>0</v>
      </c>
      <c r="K7" s="138">
        <v>0</v>
      </c>
      <c r="L7" s="138">
        <v>0</v>
      </c>
      <c r="M7" s="138">
        <v>0</v>
      </c>
      <c r="N7" s="138">
        <v>0</v>
      </c>
    </row>
    <row r="8" spans="1:14" s="57" customFormat="1">
      <c r="H8" s="89"/>
      <c r="I8" s="89"/>
      <c r="J8" s="89"/>
      <c r="K8" s="89"/>
      <c r="L8" s="89"/>
      <c r="M8" s="89"/>
      <c r="N8" s="89"/>
    </row>
    <row r="9" spans="1:14" s="57" customFormat="1">
      <c r="H9" s="89"/>
      <c r="I9" s="89"/>
      <c r="J9" s="89"/>
      <c r="K9" s="89"/>
      <c r="L9" s="89"/>
      <c r="M9" s="89"/>
      <c r="N9" s="89"/>
    </row>
    <row r="10" spans="1:14">
      <c r="A10" s="59" t="s">
        <v>66</v>
      </c>
      <c r="H10" s="89"/>
      <c r="I10" s="89"/>
      <c r="J10" s="89"/>
      <c r="K10" s="89"/>
      <c r="L10" s="89"/>
      <c r="M10" s="89"/>
      <c r="N10" s="89"/>
    </row>
    <row r="11" spans="1:14">
      <c r="A11" t="s">
        <v>67</v>
      </c>
      <c r="B11" s="62">
        <v>650</v>
      </c>
      <c r="C11" s="89" t="s">
        <v>242</v>
      </c>
      <c r="H11" s="89"/>
      <c r="I11" s="89"/>
      <c r="J11" s="89"/>
      <c r="K11" s="89"/>
      <c r="L11" s="89"/>
      <c r="M11" s="89"/>
      <c r="N11" s="89"/>
    </row>
    <row r="12" spans="1:14">
      <c r="A12" t="s">
        <v>72</v>
      </c>
      <c r="B12" s="62">
        <v>250</v>
      </c>
      <c r="C12" s="89" t="s">
        <v>242</v>
      </c>
      <c r="H12" s="89"/>
      <c r="I12" s="89"/>
      <c r="J12" s="89"/>
      <c r="K12" s="89"/>
      <c r="L12" s="89"/>
      <c r="M12" s="89"/>
      <c r="N12" s="89"/>
    </row>
    <row r="13" spans="1:14">
      <c r="A13" t="s">
        <v>69</v>
      </c>
      <c r="B13" s="63">
        <v>3</v>
      </c>
      <c r="C13" s="89" t="s">
        <v>242</v>
      </c>
      <c r="H13" s="89"/>
      <c r="I13" s="89"/>
      <c r="J13" s="89"/>
      <c r="K13" s="89"/>
      <c r="L13" s="89"/>
      <c r="M13" s="89"/>
      <c r="N13" s="89"/>
    </row>
    <row r="14" spans="1:14">
      <c r="A14" t="s">
        <v>73</v>
      </c>
      <c r="B14" s="62">
        <v>75</v>
      </c>
      <c r="C14" s="89" t="s">
        <v>242</v>
      </c>
      <c r="H14" s="89"/>
      <c r="I14" s="89"/>
      <c r="J14" s="89"/>
      <c r="K14" s="89"/>
      <c r="L14" s="89"/>
      <c r="M14" s="89"/>
      <c r="N14" s="89"/>
    </row>
    <row r="15" spans="1:14">
      <c r="A15" t="s">
        <v>71</v>
      </c>
      <c r="B15" s="62">
        <v>125</v>
      </c>
      <c r="C15" s="89" t="s">
        <v>242</v>
      </c>
      <c r="H15" s="89"/>
      <c r="I15" s="89"/>
      <c r="J15" s="89"/>
      <c r="K15" s="89"/>
      <c r="L15" s="89"/>
      <c r="M15" s="89"/>
      <c r="N15" s="89"/>
    </row>
    <row r="16" spans="1:14">
      <c r="A16" s="60" t="s">
        <v>74</v>
      </c>
      <c r="B16" s="61">
        <f>B11+B15+(B14+B12)*B13</f>
        <v>1750</v>
      </c>
      <c r="H16" s="89"/>
      <c r="I16" s="89"/>
      <c r="J16" s="89"/>
      <c r="K16" s="89"/>
      <c r="L16" s="89"/>
      <c r="M16" s="89"/>
      <c r="N16" s="89"/>
    </row>
    <row r="17" spans="1:14">
      <c r="H17" s="89"/>
      <c r="I17" s="89"/>
      <c r="J17" s="89"/>
      <c r="K17" s="89"/>
      <c r="L17" s="89"/>
      <c r="M17" s="89"/>
      <c r="N17" s="89"/>
    </row>
    <row r="18" spans="1:14">
      <c r="A18" s="59" t="s">
        <v>75</v>
      </c>
      <c r="B18" s="57"/>
      <c r="H18" s="89"/>
      <c r="I18" s="89"/>
      <c r="J18" s="89"/>
      <c r="K18" s="89"/>
      <c r="L18" s="89"/>
      <c r="M18" s="89"/>
      <c r="N18" s="89"/>
    </row>
    <row r="19" spans="1:14">
      <c r="A19" s="57" t="s">
        <v>67</v>
      </c>
      <c r="B19" s="62">
        <v>2000</v>
      </c>
      <c r="C19" s="89" t="s">
        <v>242</v>
      </c>
      <c r="H19" s="89"/>
      <c r="I19" s="89"/>
      <c r="J19" s="89"/>
      <c r="K19" s="89"/>
      <c r="L19" s="89"/>
      <c r="M19" s="89"/>
      <c r="N19" s="89"/>
    </row>
    <row r="20" spans="1:14">
      <c r="A20" s="57" t="s">
        <v>72</v>
      </c>
      <c r="B20" s="62">
        <v>250</v>
      </c>
      <c r="C20" s="89" t="s">
        <v>242</v>
      </c>
      <c r="H20" s="89"/>
      <c r="I20" s="89"/>
      <c r="J20" s="89"/>
      <c r="K20" s="89"/>
      <c r="L20" s="89"/>
      <c r="M20" s="89"/>
      <c r="N20" s="89"/>
    </row>
    <row r="21" spans="1:14">
      <c r="A21" s="57" t="s">
        <v>69</v>
      </c>
      <c r="B21" s="63">
        <v>5</v>
      </c>
      <c r="C21" s="89" t="s">
        <v>242</v>
      </c>
      <c r="H21" s="89"/>
      <c r="I21" s="89"/>
      <c r="J21" s="89"/>
      <c r="K21" s="89"/>
      <c r="L21" s="89"/>
      <c r="M21" s="89"/>
      <c r="N21" s="89"/>
    </row>
    <row r="22" spans="1:14">
      <c r="A22" s="57" t="s">
        <v>73</v>
      </c>
      <c r="B22" s="62">
        <v>75</v>
      </c>
      <c r="C22" s="89" t="s">
        <v>242</v>
      </c>
      <c r="H22" s="89"/>
      <c r="I22" s="89"/>
      <c r="J22" s="89"/>
      <c r="K22" s="89"/>
      <c r="L22" s="89"/>
      <c r="M22" s="89"/>
      <c r="N22" s="89"/>
    </row>
    <row r="23" spans="1:14">
      <c r="A23" s="57" t="s">
        <v>71</v>
      </c>
      <c r="B23" s="62">
        <v>125</v>
      </c>
      <c r="C23" s="89" t="s">
        <v>242</v>
      </c>
      <c r="H23" s="89"/>
      <c r="I23" s="89"/>
      <c r="J23" s="89"/>
      <c r="K23" s="89"/>
      <c r="L23" s="89"/>
      <c r="M23" s="89"/>
      <c r="N23" s="89"/>
    </row>
    <row r="24" spans="1:14">
      <c r="A24" s="60" t="s">
        <v>74</v>
      </c>
      <c r="B24" s="61">
        <f>B19+B23+(B22+B20)*B21</f>
        <v>3750</v>
      </c>
      <c r="H24" s="89"/>
      <c r="I24" s="89"/>
      <c r="J24" s="89"/>
      <c r="K24" s="89"/>
      <c r="L24" s="89"/>
      <c r="M24" s="89"/>
      <c r="N24" s="89"/>
    </row>
    <row r="25" spans="1:14">
      <c r="H25" s="89"/>
      <c r="I25" s="89"/>
      <c r="J25" s="89"/>
      <c r="K25" s="89"/>
      <c r="L25" s="89"/>
      <c r="M25" s="89"/>
      <c r="N25" s="89"/>
    </row>
    <row r="26" spans="1:14">
      <c r="A26" t="s">
        <v>65</v>
      </c>
      <c r="H26" s="89"/>
      <c r="I26" s="89"/>
      <c r="J26" s="89"/>
      <c r="K26" s="89"/>
      <c r="L26" s="89"/>
      <c r="M26" s="89"/>
      <c r="N26" s="89"/>
    </row>
    <row r="27" spans="1:14">
      <c r="A27" t="s">
        <v>78</v>
      </c>
      <c r="C27" s="58">
        <f>(($B$11*C6)+(C7*$B$19))*C3</f>
        <v>4600</v>
      </c>
      <c r="D27" s="58">
        <f>(($B$11*D6)+(D7*$B$19))*D3</f>
        <v>1300</v>
      </c>
      <c r="E27" s="58">
        <f>(($B$11*E6)+(E7*$B$19))*E3</f>
        <v>1300</v>
      </c>
      <c r="F27" s="58">
        <f>(($B$11*F6)+(F7*$B$19))*F3</f>
        <v>3900</v>
      </c>
      <c r="G27" s="58">
        <f>(($B$11*G6)+(G7*$B$19))*G3</f>
        <v>1300</v>
      </c>
      <c r="H27" s="58">
        <f t="shared" ref="H27:N27" si="8">(($B$11*H6)+(H7*$B$19))*H3</f>
        <v>1300</v>
      </c>
      <c r="I27" s="58">
        <f t="shared" si="8"/>
        <v>1300</v>
      </c>
      <c r="J27" s="58">
        <f t="shared" si="8"/>
        <v>1300</v>
      </c>
      <c r="K27" s="58">
        <f t="shared" si="8"/>
        <v>1300</v>
      </c>
      <c r="L27" s="58">
        <f t="shared" si="8"/>
        <v>1300</v>
      </c>
      <c r="M27" s="58">
        <f t="shared" si="8"/>
        <v>1300</v>
      </c>
      <c r="N27" s="58">
        <f t="shared" si="8"/>
        <v>1300</v>
      </c>
    </row>
    <row r="28" spans="1:14">
      <c r="A28" t="s">
        <v>68</v>
      </c>
      <c r="C28" s="58">
        <f>($D6*$B$13*$B$12)+(C7*$B$20*$B$21)</f>
        <v>2000</v>
      </c>
      <c r="D28" s="58">
        <f>($D6*$B$13*$B$12)+(D7*$B$20*$B$21)</f>
        <v>750</v>
      </c>
      <c r="E28" s="58">
        <f>($D6*$B$13*$B$12)+(E7*$B$20*$B$21)</f>
        <v>750</v>
      </c>
      <c r="F28" s="58">
        <f>($D6*$B$13*$B$12)+(F7*$B$20*$B$21)</f>
        <v>750</v>
      </c>
      <c r="G28" s="58">
        <f>($D6*$B$13*$B$12)+(G7*$B$20*$B$21)</f>
        <v>750</v>
      </c>
      <c r="H28" s="58">
        <f t="shared" ref="H28:N28" si="9">($D6*$B$13*$B$12)+(H7*$B$20*$B$21)</f>
        <v>750</v>
      </c>
      <c r="I28" s="58">
        <f t="shared" si="9"/>
        <v>750</v>
      </c>
      <c r="J28" s="58">
        <f t="shared" si="9"/>
        <v>750</v>
      </c>
      <c r="K28" s="58">
        <f t="shared" si="9"/>
        <v>750</v>
      </c>
      <c r="L28" s="58">
        <f t="shared" si="9"/>
        <v>750</v>
      </c>
      <c r="M28" s="58">
        <f t="shared" si="9"/>
        <v>750</v>
      </c>
      <c r="N28" s="58">
        <f t="shared" si="9"/>
        <v>750</v>
      </c>
    </row>
    <row r="29" spans="1:14">
      <c r="A29" t="s">
        <v>70</v>
      </c>
      <c r="C29" s="58">
        <f>(($B$13*$B$14*C6)+($B$21*$B$22*C7))*C3</f>
        <v>1275</v>
      </c>
      <c r="D29" s="58">
        <f>(($B$13*$B$14*D6)+($B$21*$B$22*D7))*D3</f>
        <v>450</v>
      </c>
      <c r="E29" s="58">
        <f>(($B$13*$B$14*E6)+($B$21*$B$22*E7))*E3</f>
        <v>450</v>
      </c>
      <c r="F29" s="58">
        <f>(($B$13*$B$14*F6)+($B$21*$B$22*F7))*F3</f>
        <v>1350</v>
      </c>
      <c r="G29" s="58">
        <f>(($B$13*$B$14*G6)+($B$21*$B$22*G7))*G3</f>
        <v>450</v>
      </c>
      <c r="H29" s="58">
        <f t="shared" ref="H29:N29" si="10">(($B$13*$B$14*H6)+($B$21*$B$22*H7))*H3</f>
        <v>450</v>
      </c>
      <c r="I29" s="58">
        <f t="shared" si="10"/>
        <v>450</v>
      </c>
      <c r="J29" s="58">
        <f t="shared" si="10"/>
        <v>450</v>
      </c>
      <c r="K29" s="58">
        <f t="shared" si="10"/>
        <v>450</v>
      </c>
      <c r="L29" s="58">
        <f t="shared" si="10"/>
        <v>450</v>
      </c>
      <c r="M29" s="58">
        <f t="shared" si="10"/>
        <v>450</v>
      </c>
      <c r="N29" s="58">
        <f t="shared" si="10"/>
        <v>450</v>
      </c>
    </row>
    <row r="30" spans="1:14">
      <c r="A30" t="s">
        <v>71</v>
      </c>
      <c r="C30" s="58">
        <f>(($B$15*$B$13*C6)+($B$23*$B$21*C7))*C3</f>
        <v>2125</v>
      </c>
      <c r="D30" s="58">
        <f>(($B$15*$B$13*D6)+($B$23*$B$21*D7))*D3</f>
        <v>750</v>
      </c>
      <c r="E30" s="58">
        <f>(($B$15*$B$13*E6)+($B$23*$B$21*E7))*E3</f>
        <v>750</v>
      </c>
      <c r="F30" s="58">
        <f>(($B$15*$B$13*F6)+($B$23*$B$21*F7))*F3</f>
        <v>2250</v>
      </c>
      <c r="G30" s="58">
        <f>(($B$15*$B$13*G6)+($B$23*$B$21*G7))*G3</f>
        <v>750</v>
      </c>
      <c r="H30" s="58">
        <f t="shared" ref="H30:N30" si="11">(($B$15*$B$13*H6)+($B$23*$B$21*H7))*H3</f>
        <v>750</v>
      </c>
      <c r="I30" s="58">
        <f t="shared" si="11"/>
        <v>750</v>
      </c>
      <c r="J30" s="58">
        <f t="shared" si="11"/>
        <v>750</v>
      </c>
      <c r="K30" s="58">
        <f t="shared" si="11"/>
        <v>750</v>
      </c>
      <c r="L30" s="58">
        <f t="shared" si="11"/>
        <v>750</v>
      </c>
      <c r="M30" s="58">
        <f t="shared" si="11"/>
        <v>750</v>
      </c>
      <c r="N30" s="58">
        <f t="shared" si="11"/>
        <v>750</v>
      </c>
    </row>
    <row r="31" spans="1:14">
      <c r="C31" s="61">
        <f t="shared" ref="C31:G31" si="12">SUM(C27:C30)</f>
        <v>10000</v>
      </c>
      <c r="D31" s="61">
        <f t="shared" si="12"/>
        <v>3250</v>
      </c>
      <c r="E31" s="61">
        <f t="shared" si="12"/>
        <v>3250</v>
      </c>
      <c r="F31" s="61">
        <f t="shared" si="12"/>
        <v>8250</v>
      </c>
      <c r="G31" s="61">
        <f t="shared" si="12"/>
        <v>3250</v>
      </c>
      <c r="H31" s="61">
        <f t="shared" ref="H31:N31" si="13">SUM(H27:H30)</f>
        <v>3250</v>
      </c>
      <c r="I31" s="61">
        <f t="shared" si="13"/>
        <v>3250</v>
      </c>
      <c r="J31" s="61">
        <f t="shared" si="13"/>
        <v>3250</v>
      </c>
      <c r="K31" s="61">
        <f t="shared" si="13"/>
        <v>3250</v>
      </c>
      <c r="L31" s="61">
        <f t="shared" si="13"/>
        <v>3250</v>
      </c>
      <c r="M31" s="61">
        <f t="shared" si="13"/>
        <v>3250</v>
      </c>
      <c r="N31" s="61">
        <f t="shared" si="13"/>
        <v>3250</v>
      </c>
    </row>
  </sheetData>
  <pageMargins left="0.75" right="0.75" top="1" bottom="1" header="0.5" footer="0.5"/>
  <pageSetup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FDA4"/>
  </sheetPr>
  <dimension ref="A1:L32"/>
  <sheetViews>
    <sheetView zoomScale="125" zoomScaleNormal="125" zoomScalePageLayoutView="125" workbookViewId="0">
      <selection activeCell="J42" sqref="J42"/>
    </sheetView>
  </sheetViews>
  <sheetFormatPr baseColWidth="10" defaultRowHeight="15" outlineLevelRow="1"/>
  <cols>
    <col min="1" max="1" width="12.83203125" style="89" customWidth="1"/>
    <col min="2" max="2" width="15.6640625" bestFit="1" customWidth="1"/>
    <col min="3" max="3" width="19.83203125" customWidth="1"/>
    <col min="4" max="4" width="7.33203125" bestFit="1" customWidth="1"/>
    <col min="6" max="6" width="18.83203125" bestFit="1" customWidth="1"/>
  </cols>
  <sheetData>
    <row r="1" spans="1:12">
      <c r="B1" s="136" t="s">
        <v>15</v>
      </c>
      <c r="C1" s="136" t="s">
        <v>18</v>
      </c>
      <c r="D1" s="136" t="s">
        <v>16</v>
      </c>
      <c r="E1" s="136" t="s">
        <v>17</v>
      </c>
      <c r="F1" s="137">
        <v>42614</v>
      </c>
      <c r="G1" s="137">
        <f>EDATE(F1,1)</f>
        <v>42644</v>
      </c>
      <c r="H1" s="137">
        <f t="shared" ref="H1:L1" si="0">EDATE(G1,1)</f>
        <v>42675</v>
      </c>
      <c r="I1" s="137">
        <f t="shared" si="0"/>
        <v>42705</v>
      </c>
      <c r="J1" s="137">
        <f t="shared" si="0"/>
        <v>42736</v>
      </c>
      <c r="K1" s="137">
        <f t="shared" si="0"/>
        <v>42767</v>
      </c>
      <c r="L1" s="137">
        <f t="shared" si="0"/>
        <v>42795</v>
      </c>
    </row>
    <row r="2" spans="1:12">
      <c r="B2" t="s">
        <v>155</v>
      </c>
      <c r="C2" t="s">
        <v>19</v>
      </c>
      <c r="D2" s="135">
        <v>140000</v>
      </c>
      <c r="E2" s="87">
        <v>42370</v>
      </c>
      <c r="F2" s="10">
        <f t="shared" ref="F2:L6" si="1">IF(F$1&gt;=$E2,$D2/12,0)</f>
        <v>11666.666666666666</v>
      </c>
      <c r="G2" s="10">
        <f t="shared" si="1"/>
        <v>11666.666666666666</v>
      </c>
      <c r="H2" s="10">
        <f t="shared" si="1"/>
        <v>11666.666666666666</v>
      </c>
      <c r="I2" s="10">
        <f t="shared" si="1"/>
        <v>11666.666666666666</v>
      </c>
      <c r="J2" s="10">
        <f t="shared" si="1"/>
        <v>11666.666666666666</v>
      </c>
      <c r="K2" s="10">
        <f t="shared" si="1"/>
        <v>11666.666666666666</v>
      </c>
      <c r="L2" s="10">
        <f t="shared" si="1"/>
        <v>11666.666666666666</v>
      </c>
    </row>
    <row r="3" spans="1:12">
      <c r="B3" s="86" t="s">
        <v>152</v>
      </c>
      <c r="C3" t="s">
        <v>20</v>
      </c>
      <c r="D3" s="135">
        <v>140000</v>
      </c>
      <c r="E3" s="87">
        <v>42370</v>
      </c>
      <c r="F3" s="10">
        <f t="shared" si="1"/>
        <v>11666.666666666666</v>
      </c>
      <c r="G3" s="10">
        <f t="shared" si="1"/>
        <v>11666.666666666666</v>
      </c>
      <c r="H3" s="10">
        <f t="shared" si="1"/>
        <v>11666.666666666666</v>
      </c>
      <c r="I3" s="10">
        <f t="shared" si="1"/>
        <v>11666.666666666666</v>
      </c>
      <c r="J3" s="10">
        <f t="shared" si="1"/>
        <v>11666.666666666666</v>
      </c>
      <c r="K3" s="10">
        <f t="shared" si="1"/>
        <v>11666.666666666666</v>
      </c>
      <c r="L3" s="10">
        <f t="shared" si="1"/>
        <v>11666.666666666666</v>
      </c>
    </row>
    <row r="4" spans="1:12">
      <c r="B4" s="86" t="s">
        <v>173</v>
      </c>
      <c r="C4" t="s">
        <v>21</v>
      </c>
      <c r="D4" s="135">
        <v>140000</v>
      </c>
      <c r="E4" s="87">
        <v>42370</v>
      </c>
      <c r="F4" s="10">
        <f t="shared" si="1"/>
        <v>11666.666666666666</v>
      </c>
      <c r="G4" s="10">
        <f t="shared" si="1"/>
        <v>11666.666666666666</v>
      </c>
      <c r="H4" s="10">
        <f t="shared" si="1"/>
        <v>11666.666666666666</v>
      </c>
      <c r="I4" s="10">
        <f t="shared" si="1"/>
        <v>11666.666666666666</v>
      </c>
      <c r="J4" s="10">
        <f t="shared" si="1"/>
        <v>11666.666666666666</v>
      </c>
      <c r="K4" s="10">
        <f t="shared" si="1"/>
        <v>11666.666666666666</v>
      </c>
      <c r="L4" s="10">
        <f t="shared" si="1"/>
        <v>11666.666666666666</v>
      </c>
    </row>
    <row r="5" spans="1:12">
      <c r="B5" s="86" t="s">
        <v>153</v>
      </c>
      <c r="C5" t="s">
        <v>177</v>
      </c>
      <c r="D5" s="135">
        <v>140000</v>
      </c>
      <c r="E5" s="87">
        <v>42370</v>
      </c>
      <c r="F5" s="10">
        <f t="shared" si="1"/>
        <v>11666.666666666666</v>
      </c>
      <c r="G5" s="10">
        <f t="shared" si="1"/>
        <v>11666.666666666666</v>
      </c>
      <c r="H5" s="10">
        <f t="shared" si="1"/>
        <v>11666.666666666666</v>
      </c>
      <c r="I5" s="10">
        <f t="shared" si="1"/>
        <v>11666.666666666666</v>
      </c>
      <c r="J5" s="10">
        <f t="shared" si="1"/>
        <v>11666.666666666666</v>
      </c>
      <c r="K5" s="10">
        <f t="shared" si="1"/>
        <v>11666.666666666666</v>
      </c>
      <c r="L5" s="10">
        <f t="shared" si="1"/>
        <v>11666.666666666666</v>
      </c>
    </row>
    <row r="6" spans="1:12">
      <c r="B6" s="86" t="s">
        <v>154</v>
      </c>
      <c r="C6" s="86" t="s">
        <v>178</v>
      </c>
      <c r="D6" s="135">
        <v>100000</v>
      </c>
      <c r="E6" s="87">
        <v>42370</v>
      </c>
      <c r="F6" s="10">
        <f t="shared" si="1"/>
        <v>8333.3333333333339</v>
      </c>
      <c r="G6" s="10">
        <f t="shared" si="1"/>
        <v>8333.3333333333339</v>
      </c>
      <c r="H6" s="10">
        <f t="shared" si="1"/>
        <v>8333.3333333333339</v>
      </c>
      <c r="I6" s="10">
        <f t="shared" si="1"/>
        <v>8333.3333333333339</v>
      </c>
      <c r="J6" s="10">
        <f t="shared" si="1"/>
        <v>8333.3333333333339</v>
      </c>
      <c r="K6" s="10">
        <f t="shared" si="1"/>
        <v>8333.3333333333339</v>
      </c>
      <c r="L6" s="10">
        <f t="shared" si="1"/>
        <v>8333.3333333333339</v>
      </c>
    </row>
    <row r="7" spans="1:12" s="84" customFormat="1">
      <c r="A7" s="89"/>
      <c r="B7" s="86" t="s">
        <v>156</v>
      </c>
      <c r="C7" s="86" t="s">
        <v>179</v>
      </c>
      <c r="D7" s="135">
        <v>75000</v>
      </c>
      <c r="E7" s="87">
        <v>42644</v>
      </c>
      <c r="F7" s="10">
        <f t="shared" ref="F7:L29" si="2">IF(F$1&gt;=$E7,$D7/12,0)</f>
        <v>0</v>
      </c>
      <c r="G7" s="10">
        <f t="shared" ref="G7:L14" si="3">IF(G$1&gt;=$E7,$D7/12,0)</f>
        <v>6250</v>
      </c>
      <c r="H7" s="10">
        <f t="shared" si="3"/>
        <v>6250</v>
      </c>
      <c r="I7" s="10">
        <f t="shared" si="3"/>
        <v>6250</v>
      </c>
      <c r="J7" s="10">
        <f t="shared" si="3"/>
        <v>6250</v>
      </c>
      <c r="K7" s="10">
        <f t="shared" si="3"/>
        <v>6250</v>
      </c>
      <c r="L7" s="10">
        <f t="shared" si="3"/>
        <v>6250</v>
      </c>
    </row>
    <row r="8" spans="1:12" s="84" customFormat="1">
      <c r="A8" s="89"/>
      <c r="B8" s="86" t="s">
        <v>174</v>
      </c>
      <c r="C8" s="86" t="s">
        <v>180</v>
      </c>
      <c r="D8" s="135">
        <v>75000</v>
      </c>
      <c r="E8" s="87">
        <v>42675</v>
      </c>
      <c r="F8" s="10">
        <f t="shared" si="2"/>
        <v>0</v>
      </c>
      <c r="G8" s="10">
        <f t="shared" si="3"/>
        <v>0</v>
      </c>
      <c r="H8" s="10">
        <f t="shared" si="3"/>
        <v>6250</v>
      </c>
      <c r="I8" s="10">
        <f t="shared" si="3"/>
        <v>6250</v>
      </c>
      <c r="J8" s="10">
        <f t="shared" si="3"/>
        <v>6250</v>
      </c>
      <c r="K8" s="10">
        <f t="shared" si="3"/>
        <v>6250</v>
      </c>
      <c r="L8" s="10">
        <f t="shared" si="3"/>
        <v>6250</v>
      </c>
    </row>
    <row r="9" spans="1:12" s="84" customFormat="1">
      <c r="A9" s="89"/>
      <c r="B9" s="86" t="s">
        <v>175</v>
      </c>
      <c r="C9" s="86" t="s">
        <v>181</v>
      </c>
      <c r="D9" s="135">
        <v>75000</v>
      </c>
      <c r="E9" s="87">
        <v>43070</v>
      </c>
      <c r="F9" s="10">
        <f t="shared" si="2"/>
        <v>0</v>
      </c>
      <c r="G9" s="10">
        <f t="shared" si="3"/>
        <v>0</v>
      </c>
      <c r="H9" s="10">
        <f t="shared" si="3"/>
        <v>0</v>
      </c>
      <c r="I9" s="10">
        <f t="shared" si="3"/>
        <v>0</v>
      </c>
      <c r="J9" s="10">
        <f t="shared" si="3"/>
        <v>0</v>
      </c>
      <c r="K9" s="10">
        <f t="shared" si="3"/>
        <v>0</v>
      </c>
      <c r="L9" s="10">
        <f t="shared" si="3"/>
        <v>0</v>
      </c>
    </row>
    <row r="10" spans="1:12" s="84" customFormat="1">
      <c r="A10" s="89"/>
      <c r="B10" s="86" t="s">
        <v>176</v>
      </c>
      <c r="C10" s="86" t="s">
        <v>182</v>
      </c>
      <c r="D10" s="135">
        <v>75000</v>
      </c>
      <c r="E10" s="87">
        <v>43070</v>
      </c>
      <c r="F10" s="10">
        <f t="shared" si="2"/>
        <v>0</v>
      </c>
      <c r="G10" s="10">
        <f t="shared" si="3"/>
        <v>0</v>
      </c>
      <c r="H10" s="10">
        <f t="shared" si="3"/>
        <v>0</v>
      </c>
      <c r="I10" s="10">
        <f t="shared" si="3"/>
        <v>0</v>
      </c>
      <c r="J10" s="10">
        <f t="shared" si="3"/>
        <v>0</v>
      </c>
      <c r="K10" s="10">
        <f t="shared" si="3"/>
        <v>0</v>
      </c>
      <c r="L10" s="10">
        <f t="shared" si="3"/>
        <v>0</v>
      </c>
    </row>
    <row r="11" spans="1:12">
      <c r="B11" t="s">
        <v>126</v>
      </c>
      <c r="C11" s="86" t="s">
        <v>183</v>
      </c>
      <c r="D11" s="135">
        <v>75000</v>
      </c>
      <c r="E11" s="87">
        <v>43070</v>
      </c>
      <c r="F11" s="10">
        <f t="shared" si="2"/>
        <v>0</v>
      </c>
      <c r="G11" s="10">
        <f t="shared" si="3"/>
        <v>0</v>
      </c>
      <c r="H11" s="10">
        <f t="shared" si="3"/>
        <v>0</v>
      </c>
      <c r="I11" s="10">
        <f t="shared" si="3"/>
        <v>0</v>
      </c>
      <c r="J11" s="10">
        <f t="shared" si="3"/>
        <v>0</v>
      </c>
      <c r="K11" s="10">
        <f t="shared" si="3"/>
        <v>0</v>
      </c>
      <c r="L11" s="10">
        <f t="shared" si="3"/>
        <v>0</v>
      </c>
    </row>
    <row r="12" spans="1:12">
      <c r="B12" t="s">
        <v>24</v>
      </c>
      <c r="C12" t="s">
        <v>184</v>
      </c>
      <c r="D12" s="135">
        <v>85000</v>
      </c>
      <c r="E12" s="87">
        <v>42675</v>
      </c>
      <c r="F12" s="10">
        <f t="shared" si="2"/>
        <v>0</v>
      </c>
      <c r="G12" s="10">
        <f t="shared" si="3"/>
        <v>0</v>
      </c>
      <c r="H12" s="10">
        <f t="shared" si="3"/>
        <v>7083.333333333333</v>
      </c>
      <c r="I12" s="10">
        <f t="shared" si="3"/>
        <v>7083.333333333333</v>
      </c>
      <c r="J12" s="10">
        <f t="shared" si="3"/>
        <v>7083.333333333333</v>
      </c>
      <c r="K12" s="10">
        <f t="shared" si="3"/>
        <v>7083.333333333333</v>
      </c>
      <c r="L12" s="10">
        <f t="shared" si="3"/>
        <v>7083.333333333333</v>
      </c>
    </row>
    <row r="13" spans="1:12">
      <c r="B13" t="s">
        <v>25</v>
      </c>
      <c r="C13" t="s">
        <v>185</v>
      </c>
      <c r="D13" s="135">
        <v>35000</v>
      </c>
      <c r="E13" s="87">
        <v>42705</v>
      </c>
      <c r="F13" s="10">
        <f t="shared" si="2"/>
        <v>0</v>
      </c>
      <c r="G13" s="10">
        <f t="shared" si="3"/>
        <v>0</v>
      </c>
      <c r="H13" s="10">
        <f t="shared" si="3"/>
        <v>0</v>
      </c>
      <c r="I13" s="10">
        <f t="shared" si="3"/>
        <v>2916.6666666666665</v>
      </c>
      <c r="J13" s="10">
        <f t="shared" si="3"/>
        <v>2916.6666666666665</v>
      </c>
      <c r="K13" s="10">
        <f t="shared" si="3"/>
        <v>2916.6666666666665</v>
      </c>
      <c r="L13" s="10">
        <f t="shared" si="3"/>
        <v>2916.6666666666665</v>
      </c>
    </row>
    <row r="14" spans="1:12" s="53" customFormat="1">
      <c r="A14" s="89"/>
      <c r="B14" s="53" t="s">
        <v>60</v>
      </c>
      <c r="C14" s="53" t="s">
        <v>186</v>
      </c>
      <c r="D14" s="135">
        <v>35000</v>
      </c>
      <c r="E14" s="87">
        <v>42767</v>
      </c>
      <c r="F14" s="10">
        <f t="shared" si="2"/>
        <v>0</v>
      </c>
      <c r="G14" s="10">
        <f t="shared" si="3"/>
        <v>0</v>
      </c>
      <c r="H14" s="10">
        <f t="shared" si="3"/>
        <v>0</v>
      </c>
      <c r="I14" s="10">
        <f t="shared" si="3"/>
        <v>0</v>
      </c>
      <c r="J14" s="10">
        <f t="shared" si="3"/>
        <v>0</v>
      </c>
      <c r="K14" s="10">
        <f t="shared" si="3"/>
        <v>2916.6666666666665</v>
      </c>
      <c r="L14" s="10">
        <f t="shared" si="3"/>
        <v>2916.6666666666665</v>
      </c>
    </row>
    <row r="15" spans="1:12" s="89" customFormat="1" outlineLevel="1">
      <c r="B15" s="138"/>
      <c r="C15" s="138"/>
      <c r="D15" s="139"/>
      <c r="E15" s="140"/>
      <c r="F15" s="10">
        <f t="shared" si="2"/>
        <v>0</v>
      </c>
      <c r="G15" s="10">
        <f t="shared" si="2"/>
        <v>0</v>
      </c>
      <c r="H15" s="10">
        <f t="shared" si="2"/>
        <v>0</v>
      </c>
      <c r="I15" s="10">
        <f t="shared" si="2"/>
        <v>0</v>
      </c>
      <c r="J15" s="10">
        <f t="shared" si="2"/>
        <v>0</v>
      </c>
      <c r="K15" s="10">
        <f t="shared" si="2"/>
        <v>0</v>
      </c>
      <c r="L15" s="10">
        <f t="shared" si="2"/>
        <v>0</v>
      </c>
    </row>
    <row r="16" spans="1:12" s="89" customFormat="1" outlineLevel="1">
      <c r="B16" s="138"/>
      <c r="C16" s="138"/>
      <c r="D16" s="139"/>
      <c r="E16" s="140"/>
      <c r="F16" s="10">
        <f t="shared" si="2"/>
        <v>0</v>
      </c>
      <c r="G16" s="10">
        <f t="shared" si="2"/>
        <v>0</v>
      </c>
      <c r="H16" s="10">
        <f t="shared" si="2"/>
        <v>0</v>
      </c>
      <c r="I16" s="10">
        <f t="shared" si="2"/>
        <v>0</v>
      </c>
      <c r="J16" s="10">
        <f t="shared" si="2"/>
        <v>0</v>
      </c>
      <c r="K16" s="10">
        <f t="shared" si="2"/>
        <v>0</v>
      </c>
      <c r="L16" s="10">
        <f t="shared" si="2"/>
        <v>0</v>
      </c>
    </row>
    <row r="17" spans="2:12" s="89" customFormat="1" outlineLevel="1">
      <c r="B17" s="138"/>
      <c r="C17" s="138"/>
      <c r="D17" s="139"/>
      <c r="E17" s="140"/>
      <c r="F17" s="10">
        <f t="shared" si="2"/>
        <v>0</v>
      </c>
      <c r="G17" s="10">
        <f t="shared" si="2"/>
        <v>0</v>
      </c>
      <c r="H17" s="10">
        <f t="shared" si="2"/>
        <v>0</v>
      </c>
      <c r="I17" s="10">
        <f t="shared" si="2"/>
        <v>0</v>
      </c>
      <c r="J17" s="10">
        <f t="shared" si="2"/>
        <v>0</v>
      </c>
      <c r="K17" s="10">
        <f t="shared" si="2"/>
        <v>0</v>
      </c>
      <c r="L17" s="10">
        <f t="shared" si="2"/>
        <v>0</v>
      </c>
    </row>
    <row r="18" spans="2:12" s="89" customFormat="1" outlineLevel="1">
      <c r="B18" s="138"/>
      <c r="C18" s="138"/>
      <c r="D18" s="139"/>
      <c r="E18" s="140"/>
      <c r="F18" s="10">
        <f t="shared" si="2"/>
        <v>0</v>
      </c>
      <c r="G18" s="10">
        <f t="shared" si="2"/>
        <v>0</v>
      </c>
      <c r="H18" s="10">
        <f t="shared" si="2"/>
        <v>0</v>
      </c>
      <c r="I18" s="10">
        <f t="shared" si="2"/>
        <v>0</v>
      </c>
      <c r="J18" s="10">
        <f t="shared" si="2"/>
        <v>0</v>
      </c>
      <c r="K18" s="10">
        <f t="shared" si="2"/>
        <v>0</v>
      </c>
      <c r="L18" s="10">
        <f t="shared" si="2"/>
        <v>0</v>
      </c>
    </row>
    <row r="19" spans="2:12" s="89" customFormat="1" outlineLevel="1">
      <c r="B19" s="138"/>
      <c r="C19" s="138"/>
      <c r="D19" s="139"/>
      <c r="E19" s="140"/>
      <c r="F19" s="10">
        <f t="shared" si="2"/>
        <v>0</v>
      </c>
      <c r="G19" s="10">
        <f t="shared" si="2"/>
        <v>0</v>
      </c>
      <c r="H19" s="10">
        <f t="shared" si="2"/>
        <v>0</v>
      </c>
      <c r="I19" s="10">
        <f t="shared" si="2"/>
        <v>0</v>
      </c>
      <c r="J19" s="10">
        <f t="shared" si="2"/>
        <v>0</v>
      </c>
      <c r="K19" s="10">
        <f t="shared" si="2"/>
        <v>0</v>
      </c>
      <c r="L19" s="10">
        <f t="shared" si="2"/>
        <v>0</v>
      </c>
    </row>
    <row r="20" spans="2:12" s="89" customFormat="1" outlineLevel="1">
      <c r="B20" s="138"/>
      <c r="C20" s="138"/>
      <c r="D20" s="139"/>
      <c r="E20" s="140"/>
      <c r="F20" s="10">
        <f t="shared" si="2"/>
        <v>0</v>
      </c>
      <c r="G20" s="10">
        <f t="shared" si="2"/>
        <v>0</v>
      </c>
      <c r="H20" s="10">
        <f t="shared" si="2"/>
        <v>0</v>
      </c>
      <c r="I20" s="10">
        <f t="shared" si="2"/>
        <v>0</v>
      </c>
      <c r="J20" s="10">
        <f t="shared" si="2"/>
        <v>0</v>
      </c>
      <c r="K20" s="10">
        <f t="shared" si="2"/>
        <v>0</v>
      </c>
      <c r="L20" s="10">
        <f t="shared" si="2"/>
        <v>0</v>
      </c>
    </row>
    <row r="21" spans="2:12" s="89" customFormat="1" outlineLevel="1">
      <c r="B21" s="138"/>
      <c r="C21" s="138"/>
      <c r="D21" s="139"/>
      <c r="E21" s="140"/>
      <c r="F21" s="10">
        <f t="shared" si="2"/>
        <v>0</v>
      </c>
      <c r="G21" s="10">
        <f t="shared" si="2"/>
        <v>0</v>
      </c>
      <c r="H21" s="10">
        <f t="shared" si="2"/>
        <v>0</v>
      </c>
      <c r="I21" s="10">
        <f t="shared" si="2"/>
        <v>0</v>
      </c>
      <c r="J21" s="10">
        <f t="shared" si="2"/>
        <v>0</v>
      </c>
      <c r="K21" s="10">
        <f t="shared" si="2"/>
        <v>0</v>
      </c>
      <c r="L21" s="10">
        <f t="shared" si="2"/>
        <v>0</v>
      </c>
    </row>
    <row r="22" spans="2:12" s="89" customFormat="1" outlineLevel="1">
      <c r="B22" s="138"/>
      <c r="C22" s="138"/>
      <c r="D22" s="139"/>
      <c r="E22" s="140"/>
      <c r="F22" s="10">
        <f t="shared" si="2"/>
        <v>0</v>
      </c>
      <c r="G22" s="10">
        <f t="shared" si="2"/>
        <v>0</v>
      </c>
      <c r="H22" s="10">
        <f t="shared" si="2"/>
        <v>0</v>
      </c>
      <c r="I22" s="10">
        <f t="shared" si="2"/>
        <v>0</v>
      </c>
      <c r="J22" s="10">
        <f t="shared" si="2"/>
        <v>0</v>
      </c>
      <c r="K22" s="10">
        <f t="shared" si="2"/>
        <v>0</v>
      </c>
      <c r="L22" s="10">
        <f t="shared" si="2"/>
        <v>0</v>
      </c>
    </row>
    <row r="23" spans="2:12" s="89" customFormat="1" outlineLevel="1">
      <c r="B23" s="138"/>
      <c r="C23" s="138"/>
      <c r="D23" s="139"/>
      <c r="E23" s="140"/>
      <c r="F23" s="10">
        <f t="shared" si="2"/>
        <v>0</v>
      </c>
      <c r="G23" s="10">
        <f t="shared" si="2"/>
        <v>0</v>
      </c>
      <c r="H23" s="10">
        <f t="shared" si="2"/>
        <v>0</v>
      </c>
      <c r="I23" s="10">
        <f t="shared" si="2"/>
        <v>0</v>
      </c>
      <c r="J23" s="10">
        <f t="shared" si="2"/>
        <v>0</v>
      </c>
      <c r="K23" s="10">
        <f t="shared" si="2"/>
        <v>0</v>
      </c>
      <c r="L23" s="10">
        <f t="shared" si="2"/>
        <v>0</v>
      </c>
    </row>
    <row r="24" spans="2:12" s="89" customFormat="1" outlineLevel="1">
      <c r="B24" s="138"/>
      <c r="C24" s="138"/>
      <c r="D24" s="139"/>
      <c r="E24" s="140"/>
      <c r="F24" s="10">
        <f t="shared" si="2"/>
        <v>0</v>
      </c>
      <c r="G24" s="10">
        <f t="shared" si="2"/>
        <v>0</v>
      </c>
      <c r="H24" s="10">
        <f t="shared" si="2"/>
        <v>0</v>
      </c>
      <c r="I24" s="10">
        <f t="shared" si="2"/>
        <v>0</v>
      </c>
      <c r="J24" s="10">
        <f t="shared" si="2"/>
        <v>0</v>
      </c>
      <c r="K24" s="10">
        <f t="shared" si="2"/>
        <v>0</v>
      </c>
      <c r="L24" s="10">
        <f t="shared" si="2"/>
        <v>0</v>
      </c>
    </row>
    <row r="25" spans="2:12" s="89" customFormat="1" outlineLevel="1">
      <c r="B25" s="138"/>
      <c r="C25" s="138"/>
      <c r="D25" s="139"/>
      <c r="E25" s="140"/>
      <c r="F25" s="10">
        <f t="shared" si="2"/>
        <v>0</v>
      </c>
      <c r="G25" s="10">
        <f t="shared" si="2"/>
        <v>0</v>
      </c>
      <c r="H25" s="10">
        <f t="shared" si="2"/>
        <v>0</v>
      </c>
      <c r="I25" s="10">
        <f t="shared" si="2"/>
        <v>0</v>
      </c>
      <c r="J25" s="10">
        <f t="shared" si="2"/>
        <v>0</v>
      </c>
      <c r="K25" s="10">
        <f t="shared" si="2"/>
        <v>0</v>
      </c>
      <c r="L25" s="10">
        <f t="shared" si="2"/>
        <v>0</v>
      </c>
    </row>
    <row r="26" spans="2:12" s="89" customFormat="1" outlineLevel="1">
      <c r="B26" s="138"/>
      <c r="C26" s="138"/>
      <c r="D26" s="139"/>
      <c r="E26" s="140"/>
      <c r="F26" s="10">
        <f t="shared" si="2"/>
        <v>0</v>
      </c>
      <c r="G26" s="10">
        <f t="shared" si="2"/>
        <v>0</v>
      </c>
      <c r="H26" s="10">
        <f t="shared" si="2"/>
        <v>0</v>
      </c>
      <c r="I26" s="10">
        <f t="shared" si="2"/>
        <v>0</v>
      </c>
      <c r="J26" s="10">
        <f t="shared" si="2"/>
        <v>0</v>
      </c>
      <c r="K26" s="10">
        <f t="shared" si="2"/>
        <v>0</v>
      </c>
      <c r="L26" s="10">
        <f t="shared" si="2"/>
        <v>0</v>
      </c>
    </row>
    <row r="27" spans="2:12" s="89" customFormat="1" outlineLevel="1">
      <c r="B27" s="138"/>
      <c r="C27" s="138"/>
      <c r="D27" s="139"/>
      <c r="E27" s="140"/>
      <c r="F27" s="10">
        <f t="shared" si="2"/>
        <v>0</v>
      </c>
      <c r="G27" s="10">
        <f t="shared" si="2"/>
        <v>0</v>
      </c>
      <c r="H27" s="10">
        <f t="shared" si="2"/>
        <v>0</v>
      </c>
      <c r="I27" s="10">
        <f t="shared" si="2"/>
        <v>0</v>
      </c>
      <c r="J27" s="10">
        <f t="shared" si="2"/>
        <v>0</v>
      </c>
      <c r="K27" s="10">
        <f t="shared" si="2"/>
        <v>0</v>
      </c>
      <c r="L27" s="10">
        <f t="shared" si="2"/>
        <v>0</v>
      </c>
    </row>
    <row r="28" spans="2:12" s="89" customFormat="1" outlineLevel="1">
      <c r="B28" s="138"/>
      <c r="C28" s="138"/>
      <c r="D28" s="139"/>
      <c r="E28" s="140"/>
      <c r="F28" s="10">
        <f t="shared" si="2"/>
        <v>0</v>
      </c>
      <c r="G28" s="10">
        <f t="shared" si="2"/>
        <v>0</v>
      </c>
      <c r="H28" s="10">
        <f t="shared" si="2"/>
        <v>0</v>
      </c>
      <c r="I28" s="10">
        <f t="shared" si="2"/>
        <v>0</v>
      </c>
      <c r="J28" s="10">
        <f t="shared" si="2"/>
        <v>0</v>
      </c>
      <c r="K28" s="10">
        <f t="shared" si="2"/>
        <v>0</v>
      </c>
      <c r="L28" s="10">
        <f t="shared" si="2"/>
        <v>0</v>
      </c>
    </row>
    <row r="29" spans="2:12" s="89" customFormat="1" outlineLevel="1">
      <c r="B29" s="138"/>
      <c r="C29" s="138"/>
      <c r="D29" s="139"/>
      <c r="E29" s="140"/>
      <c r="F29" s="10">
        <f t="shared" si="2"/>
        <v>0</v>
      </c>
      <c r="G29" s="10">
        <f t="shared" si="2"/>
        <v>0</v>
      </c>
      <c r="H29" s="10">
        <f t="shared" si="2"/>
        <v>0</v>
      </c>
      <c r="I29" s="10">
        <f t="shared" si="2"/>
        <v>0</v>
      </c>
      <c r="J29" s="10">
        <f t="shared" si="2"/>
        <v>0</v>
      </c>
      <c r="K29" s="10">
        <f t="shared" si="2"/>
        <v>0</v>
      </c>
      <c r="L29" s="10">
        <f t="shared" si="2"/>
        <v>0</v>
      </c>
    </row>
    <row r="30" spans="2:12" s="89" customFormat="1" outlineLevel="1">
      <c r="B30" s="138"/>
      <c r="C30" s="138"/>
      <c r="D30" s="139"/>
      <c r="E30" s="140"/>
      <c r="F30" s="10">
        <f t="shared" ref="F30:L30" si="4">IF(F$1&gt;=$E30,$D30/12,0)</f>
        <v>0</v>
      </c>
      <c r="G30" s="10">
        <f t="shared" si="4"/>
        <v>0</v>
      </c>
      <c r="H30" s="10">
        <f t="shared" si="4"/>
        <v>0</v>
      </c>
      <c r="I30" s="10">
        <f t="shared" si="4"/>
        <v>0</v>
      </c>
      <c r="J30" s="10">
        <f t="shared" si="4"/>
        <v>0</v>
      </c>
      <c r="K30" s="10">
        <f t="shared" si="4"/>
        <v>0</v>
      </c>
      <c r="L30" s="10">
        <f t="shared" si="4"/>
        <v>0</v>
      </c>
    </row>
    <row r="31" spans="2:12">
      <c r="B31" s="194" t="s">
        <v>23</v>
      </c>
      <c r="C31" s="194"/>
      <c r="D31" s="194"/>
      <c r="E31" s="194"/>
      <c r="F31" s="11">
        <f>-SUM(F2:F30)</f>
        <v>-55000</v>
      </c>
      <c r="G31" s="11">
        <f t="shared" ref="G31:L31" si="5">-SUM(G2:G30)</f>
        <v>-61250</v>
      </c>
      <c r="H31" s="11">
        <f t="shared" si="5"/>
        <v>-74583.333333333328</v>
      </c>
      <c r="I31" s="11">
        <f t="shared" si="5"/>
        <v>-77500</v>
      </c>
      <c r="J31" s="11">
        <f t="shared" si="5"/>
        <v>-77500</v>
      </c>
      <c r="K31" s="11">
        <f t="shared" si="5"/>
        <v>-80416.666666666672</v>
      </c>
      <c r="L31" s="11">
        <f t="shared" si="5"/>
        <v>-80416.666666666672</v>
      </c>
    </row>
    <row r="32" spans="2:12">
      <c r="B32" s="195" t="s">
        <v>139</v>
      </c>
      <c r="C32" s="195"/>
      <c r="D32" s="195"/>
      <c r="E32" s="195"/>
      <c r="F32" s="79">
        <f>COUNTIF(F2:F14,"&gt;0")</f>
        <v>5</v>
      </c>
      <c r="G32" s="79">
        <f t="shared" ref="G32:L32" si="6">COUNTIF(G2:G14,"&gt;0")</f>
        <v>6</v>
      </c>
      <c r="H32" s="79">
        <f t="shared" si="6"/>
        <v>8</v>
      </c>
      <c r="I32" s="79">
        <f t="shared" si="6"/>
        <v>9</v>
      </c>
      <c r="J32" s="79">
        <f t="shared" si="6"/>
        <v>9</v>
      </c>
      <c r="K32" s="79">
        <f t="shared" si="6"/>
        <v>10</v>
      </c>
      <c r="L32" s="79">
        <f t="shared" si="6"/>
        <v>10</v>
      </c>
    </row>
  </sheetData>
  <mergeCells count="2">
    <mergeCell ref="B31:E31"/>
    <mergeCell ref="B32:E32"/>
  </mergeCells>
  <pageMargins left="0.75" right="0.75" top="1" bottom="1" header="0.5" footer="0.5"/>
  <pageSetup orientation="portrait" horizontalDpi="4294967292" verticalDpi="429496729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CW48"/>
  <sheetViews>
    <sheetView zoomScale="125" zoomScaleNormal="125" zoomScalePageLayoutView="125" workbookViewId="0">
      <pane xSplit="1" ySplit="1" topLeftCell="B2" activePane="bottomRight" state="frozenSplit"/>
      <selection activeCell="I22" sqref="I22"/>
      <selection pane="topRight" activeCell="I22" sqref="I22"/>
      <selection pane="bottomLeft" activeCell="I22" sqref="I22"/>
      <selection pane="bottomRight" activeCell="E31" sqref="E31"/>
    </sheetView>
  </sheetViews>
  <sheetFormatPr baseColWidth="10" defaultColWidth="8.83203125" defaultRowHeight="15"/>
  <cols>
    <col min="1" max="1" width="30" style="85" customWidth="1"/>
    <col min="2" max="2" width="9.5" style="85" customWidth="1"/>
    <col min="3" max="3" width="7.6640625" style="85" customWidth="1"/>
    <col min="4" max="4" width="18" style="85" customWidth="1"/>
    <col min="5" max="5" width="33.5" style="85" customWidth="1"/>
    <col min="6" max="6" width="9.5" style="85" customWidth="1"/>
    <col min="7" max="7" width="7.6640625" style="85" customWidth="1"/>
    <col min="8" max="9" width="10.33203125" style="85" customWidth="1"/>
    <col min="10" max="10" width="8.83203125" style="54"/>
    <col min="11" max="11" width="24.5" style="54" customWidth="1"/>
    <col min="12" max="16384" width="8.83203125" style="54"/>
  </cols>
  <sheetData>
    <row r="1" spans="1:101" ht="18">
      <c r="A1" s="186"/>
      <c r="B1" s="179"/>
      <c r="C1" s="179"/>
      <c r="D1" s="179"/>
      <c r="E1" s="179"/>
      <c r="F1" s="179"/>
      <c r="G1" s="179"/>
      <c r="H1" s="179"/>
      <c r="I1" s="179"/>
    </row>
    <row r="2" spans="1:101" ht="18">
      <c r="A2" s="186" t="s">
        <v>48</v>
      </c>
      <c r="B2" s="179"/>
      <c r="C2" s="179"/>
      <c r="D2" s="179"/>
      <c r="E2" s="179"/>
      <c r="F2" s="179"/>
      <c r="G2" s="179"/>
      <c r="H2" s="179"/>
      <c r="I2" s="179"/>
    </row>
    <row r="3" spans="1:101">
      <c r="A3" s="196" t="s">
        <v>150</v>
      </c>
      <c r="B3" s="179"/>
      <c r="C3" s="179"/>
      <c r="D3" s="179"/>
      <c r="E3" s="179"/>
      <c r="F3" s="179"/>
      <c r="G3" s="179"/>
      <c r="H3" s="179"/>
      <c r="I3" s="179"/>
    </row>
    <row r="4" spans="1:101" ht="16" thickBot="1"/>
    <row r="5" spans="1:101" ht="38" thickBot="1">
      <c r="B5" s="2" t="s">
        <v>49</v>
      </c>
      <c r="C5" s="2" t="s">
        <v>50</v>
      </c>
      <c r="D5" s="2" t="s">
        <v>51</v>
      </c>
      <c r="E5" s="2" t="s">
        <v>52</v>
      </c>
      <c r="F5" s="2" t="s">
        <v>53</v>
      </c>
      <c r="G5" s="2" t="s">
        <v>54</v>
      </c>
      <c r="H5" s="2" t="s">
        <v>63</v>
      </c>
      <c r="I5" s="2" t="s">
        <v>55</v>
      </c>
      <c r="J5" s="48" t="s">
        <v>56</v>
      </c>
      <c r="L5" s="19">
        <v>42587</v>
      </c>
      <c r="M5" s="19">
        <f>L5+7</f>
        <v>42594</v>
      </c>
      <c r="N5" s="19">
        <f t="shared" ref="N5:BY5" si="0">M5+7</f>
        <v>42601</v>
      </c>
      <c r="O5" s="19">
        <f t="shared" si="0"/>
        <v>42608</v>
      </c>
      <c r="P5" s="19">
        <f t="shared" si="0"/>
        <v>42615</v>
      </c>
      <c r="Q5" s="19">
        <f t="shared" si="0"/>
        <v>42622</v>
      </c>
      <c r="R5" s="19">
        <f t="shared" si="0"/>
        <v>42629</v>
      </c>
      <c r="S5" s="19">
        <f t="shared" si="0"/>
        <v>42636</v>
      </c>
      <c r="T5" s="19">
        <f t="shared" si="0"/>
        <v>42643</v>
      </c>
      <c r="U5" s="19">
        <f t="shared" si="0"/>
        <v>42650</v>
      </c>
      <c r="V5" s="19">
        <f t="shared" si="0"/>
        <v>42657</v>
      </c>
      <c r="W5" s="19">
        <f t="shared" si="0"/>
        <v>42664</v>
      </c>
      <c r="X5" s="19">
        <f t="shared" si="0"/>
        <v>42671</v>
      </c>
      <c r="Y5" s="19">
        <f t="shared" si="0"/>
        <v>42678</v>
      </c>
      <c r="Z5" s="19">
        <f t="shared" si="0"/>
        <v>42685</v>
      </c>
      <c r="AA5" s="19">
        <f t="shared" si="0"/>
        <v>42692</v>
      </c>
      <c r="AB5" s="19">
        <f t="shared" si="0"/>
        <v>42699</v>
      </c>
      <c r="AC5" s="19">
        <f t="shared" si="0"/>
        <v>42706</v>
      </c>
      <c r="AD5" s="19">
        <f t="shared" si="0"/>
        <v>42713</v>
      </c>
      <c r="AE5" s="19">
        <f t="shared" si="0"/>
        <v>42720</v>
      </c>
      <c r="AF5" s="19">
        <f t="shared" si="0"/>
        <v>42727</v>
      </c>
      <c r="AG5" s="19">
        <f t="shared" si="0"/>
        <v>42734</v>
      </c>
      <c r="AH5" s="19">
        <f t="shared" si="0"/>
        <v>42741</v>
      </c>
      <c r="AI5" s="19">
        <f t="shared" si="0"/>
        <v>42748</v>
      </c>
      <c r="AJ5" s="19">
        <f t="shared" si="0"/>
        <v>42755</v>
      </c>
      <c r="AK5" s="19">
        <f t="shared" si="0"/>
        <v>42762</v>
      </c>
      <c r="AL5" s="19">
        <f t="shared" si="0"/>
        <v>42769</v>
      </c>
      <c r="AM5" s="19">
        <f t="shared" si="0"/>
        <v>42776</v>
      </c>
      <c r="AN5" s="19">
        <f t="shared" si="0"/>
        <v>42783</v>
      </c>
      <c r="AO5" s="19">
        <f t="shared" si="0"/>
        <v>42790</v>
      </c>
      <c r="AP5" s="19">
        <f t="shared" si="0"/>
        <v>42797</v>
      </c>
      <c r="AQ5" s="19">
        <f t="shared" si="0"/>
        <v>42804</v>
      </c>
      <c r="AR5" s="19">
        <f t="shared" si="0"/>
        <v>42811</v>
      </c>
      <c r="AS5" s="19">
        <f t="shared" si="0"/>
        <v>42818</v>
      </c>
      <c r="AT5" s="19">
        <f t="shared" si="0"/>
        <v>42825</v>
      </c>
      <c r="AU5" s="19">
        <f t="shared" si="0"/>
        <v>42832</v>
      </c>
      <c r="AV5" s="19">
        <f t="shared" si="0"/>
        <v>42839</v>
      </c>
      <c r="AW5" s="19">
        <f t="shared" si="0"/>
        <v>42846</v>
      </c>
      <c r="AX5" s="19">
        <f t="shared" si="0"/>
        <v>42853</v>
      </c>
      <c r="AY5" s="19">
        <f t="shared" si="0"/>
        <v>42860</v>
      </c>
      <c r="AZ5" s="19">
        <f t="shared" si="0"/>
        <v>42867</v>
      </c>
      <c r="BA5" s="19">
        <f t="shared" si="0"/>
        <v>42874</v>
      </c>
      <c r="BB5" s="19">
        <f t="shared" si="0"/>
        <v>42881</v>
      </c>
      <c r="BC5" s="19">
        <f t="shared" si="0"/>
        <v>42888</v>
      </c>
      <c r="BD5" s="19">
        <f t="shared" si="0"/>
        <v>42895</v>
      </c>
      <c r="BE5" s="19">
        <f t="shared" si="0"/>
        <v>42902</v>
      </c>
      <c r="BF5" s="19">
        <f t="shared" si="0"/>
        <v>42909</v>
      </c>
      <c r="BG5" s="19">
        <f t="shared" si="0"/>
        <v>42916</v>
      </c>
      <c r="BH5" s="19">
        <f t="shared" si="0"/>
        <v>42923</v>
      </c>
      <c r="BI5" s="19">
        <f t="shared" si="0"/>
        <v>42930</v>
      </c>
      <c r="BJ5" s="19">
        <f t="shared" si="0"/>
        <v>42937</v>
      </c>
      <c r="BK5" s="19">
        <f t="shared" si="0"/>
        <v>42944</v>
      </c>
      <c r="BL5" s="19">
        <f t="shared" si="0"/>
        <v>42951</v>
      </c>
      <c r="BM5" s="19">
        <f t="shared" si="0"/>
        <v>42958</v>
      </c>
      <c r="BN5" s="19">
        <f t="shared" si="0"/>
        <v>42965</v>
      </c>
      <c r="BO5" s="19">
        <f t="shared" si="0"/>
        <v>42972</v>
      </c>
      <c r="BP5" s="19">
        <f t="shared" si="0"/>
        <v>42979</v>
      </c>
      <c r="BQ5" s="19">
        <f t="shared" si="0"/>
        <v>42986</v>
      </c>
      <c r="BR5" s="19">
        <f t="shared" si="0"/>
        <v>42993</v>
      </c>
      <c r="BS5" s="19">
        <f t="shared" si="0"/>
        <v>43000</v>
      </c>
      <c r="BT5" s="19">
        <f t="shared" si="0"/>
        <v>43007</v>
      </c>
      <c r="BU5" s="19">
        <f t="shared" si="0"/>
        <v>43014</v>
      </c>
      <c r="BV5" s="19">
        <f t="shared" si="0"/>
        <v>43021</v>
      </c>
      <c r="BW5" s="19">
        <f t="shared" si="0"/>
        <v>43028</v>
      </c>
      <c r="BX5" s="19">
        <f t="shared" si="0"/>
        <v>43035</v>
      </c>
      <c r="BY5" s="19">
        <f t="shared" si="0"/>
        <v>43042</v>
      </c>
      <c r="BZ5" s="19">
        <f t="shared" ref="BZ5:CW5" si="1">BY5+7</f>
        <v>43049</v>
      </c>
      <c r="CA5" s="19">
        <f t="shared" si="1"/>
        <v>43056</v>
      </c>
      <c r="CB5" s="19">
        <f t="shared" si="1"/>
        <v>43063</v>
      </c>
      <c r="CC5" s="19">
        <f t="shared" si="1"/>
        <v>43070</v>
      </c>
      <c r="CD5" s="19">
        <f t="shared" si="1"/>
        <v>43077</v>
      </c>
      <c r="CE5" s="19">
        <f t="shared" si="1"/>
        <v>43084</v>
      </c>
      <c r="CF5" s="19">
        <f t="shared" si="1"/>
        <v>43091</v>
      </c>
      <c r="CG5" s="19">
        <f t="shared" si="1"/>
        <v>43098</v>
      </c>
      <c r="CH5" s="19">
        <f t="shared" si="1"/>
        <v>43105</v>
      </c>
      <c r="CI5" s="19">
        <f t="shared" si="1"/>
        <v>43112</v>
      </c>
      <c r="CJ5" s="19">
        <f t="shared" si="1"/>
        <v>43119</v>
      </c>
      <c r="CK5" s="19">
        <f t="shared" si="1"/>
        <v>43126</v>
      </c>
      <c r="CL5" s="19">
        <f t="shared" si="1"/>
        <v>43133</v>
      </c>
      <c r="CM5" s="19">
        <f t="shared" si="1"/>
        <v>43140</v>
      </c>
      <c r="CN5" s="19">
        <f t="shared" si="1"/>
        <v>43147</v>
      </c>
      <c r="CO5" s="19">
        <f t="shared" si="1"/>
        <v>43154</v>
      </c>
      <c r="CP5" s="19">
        <f t="shared" si="1"/>
        <v>43161</v>
      </c>
      <c r="CQ5" s="19">
        <f t="shared" si="1"/>
        <v>43168</v>
      </c>
      <c r="CR5" s="19">
        <f t="shared" si="1"/>
        <v>43175</v>
      </c>
      <c r="CS5" s="19">
        <f t="shared" si="1"/>
        <v>43182</v>
      </c>
      <c r="CT5" s="19">
        <f t="shared" si="1"/>
        <v>43189</v>
      </c>
      <c r="CU5" s="19">
        <f t="shared" si="1"/>
        <v>43196</v>
      </c>
      <c r="CV5" s="19">
        <f t="shared" si="1"/>
        <v>43203</v>
      </c>
      <c r="CW5" s="19">
        <f t="shared" si="1"/>
        <v>43210</v>
      </c>
    </row>
    <row r="6" spans="1:101">
      <c r="A6" s="56" t="s">
        <v>57</v>
      </c>
      <c r="L6" s="55">
        <f t="shared" ref="L6:AQ6" si="2">SUM(L7:L47)</f>
        <v>0</v>
      </c>
      <c r="M6" s="55">
        <f t="shared" si="2"/>
        <v>0</v>
      </c>
      <c r="N6" s="55">
        <f t="shared" si="2"/>
        <v>0</v>
      </c>
      <c r="O6" s="55">
        <f t="shared" si="2"/>
        <v>0</v>
      </c>
      <c r="P6" s="55">
        <f t="shared" si="2"/>
        <v>0</v>
      </c>
      <c r="Q6" s="55">
        <f t="shared" si="2"/>
        <v>0</v>
      </c>
      <c r="R6" s="55">
        <f t="shared" si="2"/>
        <v>-25969.02</v>
      </c>
      <c r="S6" s="55">
        <f t="shared" si="2"/>
        <v>0</v>
      </c>
      <c r="T6" s="55">
        <f t="shared" si="2"/>
        <v>0</v>
      </c>
      <c r="U6" s="55">
        <f t="shared" si="2"/>
        <v>0</v>
      </c>
      <c r="V6" s="55">
        <f t="shared" si="2"/>
        <v>0</v>
      </c>
      <c r="W6" s="55">
        <f t="shared" si="2"/>
        <v>0</v>
      </c>
      <c r="X6" s="55">
        <f t="shared" si="2"/>
        <v>-2598.8000000000002</v>
      </c>
      <c r="Y6" s="55">
        <f t="shared" si="2"/>
        <v>0</v>
      </c>
      <c r="Z6" s="55">
        <f t="shared" si="2"/>
        <v>0</v>
      </c>
      <c r="AA6" s="55">
        <f t="shared" si="2"/>
        <v>0</v>
      </c>
      <c r="AB6" s="55">
        <f t="shared" si="2"/>
        <v>0</v>
      </c>
      <c r="AC6" s="55">
        <f t="shared" si="2"/>
        <v>0</v>
      </c>
      <c r="AD6" s="55">
        <f t="shared" si="2"/>
        <v>0</v>
      </c>
      <c r="AE6" s="55">
        <f t="shared" si="2"/>
        <v>0</v>
      </c>
      <c r="AF6" s="55">
        <f t="shared" si="2"/>
        <v>0</v>
      </c>
      <c r="AG6" s="55">
        <f t="shared" si="2"/>
        <v>0</v>
      </c>
      <c r="AH6" s="55">
        <f t="shared" si="2"/>
        <v>0</v>
      </c>
      <c r="AI6" s="55">
        <f t="shared" si="2"/>
        <v>0</v>
      </c>
      <c r="AJ6" s="55">
        <f t="shared" si="2"/>
        <v>0</v>
      </c>
      <c r="AK6" s="55">
        <f t="shared" si="2"/>
        <v>0</v>
      </c>
      <c r="AL6" s="55">
        <f t="shared" si="2"/>
        <v>0</v>
      </c>
      <c r="AM6" s="55">
        <f t="shared" si="2"/>
        <v>0</v>
      </c>
      <c r="AN6" s="55">
        <f t="shared" si="2"/>
        <v>0</v>
      </c>
      <c r="AO6" s="55">
        <f t="shared" si="2"/>
        <v>0</v>
      </c>
      <c r="AP6" s="55">
        <f t="shared" si="2"/>
        <v>0</v>
      </c>
      <c r="AQ6" s="55">
        <f t="shared" si="2"/>
        <v>0</v>
      </c>
      <c r="AR6" s="55">
        <f t="shared" ref="AR6:BW6" si="3">SUM(AR7:AR47)</f>
        <v>0</v>
      </c>
      <c r="AS6" s="55">
        <f t="shared" si="3"/>
        <v>0</v>
      </c>
      <c r="AT6" s="55">
        <f t="shared" si="3"/>
        <v>0</v>
      </c>
      <c r="AU6" s="55">
        <f t="shared" si="3"/>
        <v>0</v>
      </c>
      <c r="AV6" s="55">
        <f t="shared" si="3"/>
        <v>0</v>
      </c>
      <c r="AW6" s="55">
        <f t="shared" si="3"/>
        <v>0</v>
      </c>
      <c r="AX6" s="55">
        <f t="shared" si="3"/>
        <v>0</v>
      </c>
      <c r="AY6" s="55">
        <f t="shared" si="3"/>
        <v>0</v>
      </c>
      <c r="AZ6" s="55">
        <f t="shared" si="3"/>
        <v>0</v>
      </c>
      <c r="BA6" s="55">
        <f t="shared" si="3"/>
        <v>0</v>
      </c>
      <c r="BB6" s="55">
        <f t="shared" si="3"/>
        <v>0</v>
      </c>
      <c r="BC6" s="55">
        <f t="shared" si="3"/>
        <v>0</v>
      </c>
      <c r="BD6" s="55">
        <f t="shared" si="3"/>
        <v>0</v>
      </c>
      <c r="BE6" s="55">
        <f t="shared" si="3"/>
        <v>0</v>
      </c>
      <c r="BF6" s="55">
        <f t="shared" si="3"/>
        <v>0</v>
      </c>
      <c r="BG6" s="55">
        <f t="shared" si="3"/>
        <v>0</v>
      </c>
      <c r="BH6" s="55">
        <f t="shared" si="3"/>
        <v>0</v>
      </c>
      <c r="BI6" s="55">
        <f t="shared" si="3"/>
        <v>0</v>
      </c>
      <c r="BJ6" s="55">
        <f t="shared" si="3"/>
        <v>0</v>
      </c>
      <c r="BK6" s="55">
        <f t="shared" si="3"/>
        <v>0</v>
      </c>
      <c r="BL6" s="55">
        <f t="shared" si="3"/>
        <v>0</v>
      </c>
      <c r="BM6" s="55">
        <f t="shared" si="3"/>
        <v>0</v>
      </c>
      <c r="BN6" s="55">
        <f t="shared" si="3"/>
        <v>0</v>
      </c>
      <c r="BO6" s="55">
        <f t="shared" si="3"/>
        <v>0</v>
      </c>
      <c r="BP6" s="55">
        <f t="shared" si="3"/>
        <v>0</v>
      </c>
      <c r="BQ6" s="55">
        <f t="shared" si="3"/>
        <v>0</v>
      </c>
      <c r="BR6" s="55">
        <f t="shared" si="3"/>
        <v>0</v>
      </c>
      <c r="BS6" s="55">
        <f t="shared" si="3"/>
        <v>0</v>
      </c>
      <c r="BT6" s="55">
        <f t="shared" si="3"/>
        <v>0</v>
      </c>
      <c r="BU6" s="55">
        <f t="shared" si="3"/>
        <v>0</v>
      </c>
      <c r="BV6" s="55">
        <f t="shared" si="3"/>
        <v>0</v>
      </c>
      <c r="BW6" s="55">
        <f t="shared" si="3"/>
        <v>0</v>
      </c>
      <c r="BX6" s="55">
        <f t="shared" ref="BX6:CW6" si="4">SUM(BX7:BX47)</f>
        <v>0</v>
      </c>
      <c r="BY6" s="55">
        <f t="shared" si="4"/>
        <v>0</v>
      </c>
      <c r="BZ6" s="55">
        <f t="shared" si="4"/>
        <v>0</v>
      </c>
      <c r="CA6" s="55">
        <f t="shared" si="4"/>
        <v>0</v>
      </c>
      <c r="CB6" s="55">
        <f t="shared" si="4"/>
        <v>0</v>
      </c>
      <c r="CC6" s="55">
        <f t="shared" si="4"/>
        <v>0</v>
      </c>
      <c r="CD6" s="55">
        <f t="shared" si="4"/>
        <v>0</v>
      </c>
      <c r="CE6" s="55">
        <f t="shared" si="4"/>
        <v>0</v>
      </c>
      <c r="CF6" s="55">
        <f t="shared" si="4"/>
        <v>0</v>
      </c>
      <c r="CG6" s="55">
        <f t="shared" si="4"/>
        <v>0</v>
      </c>
      <c r="CH6" s="55">
        <f t="shared" si="4"/>
        <v>0</v>
      </c>
      <c r="CI6" s="55">
        <f t="shared" si="4"/>
        <v>0</v>
      </c>
      <c r="CJ6" s="55">
        <f t="shared" si="4"/>
        <v>0</v>
      </c>
      <c r="CK6" s="55">
        <f t="shared" si="4"/>
        <v>0</v>
      </c>
      <c r="CL6" s="55">
        <f t="shared" si="4"/>
        <v>0</v>
      </c>
      <c r="CM6" s="55">
        <f t="shared" si="4"/>
        <v>0</v>
      </c>
      <c r="CN6" s="55">
        <f t="shared" si="4"/>
        <v>0</v>
      </c>
      <c r="CO6" s="55">
        <f t="shared" si="4"/>
        <v>0</v>
      </c>
      <c r="CP6" s="55">
        <f t="shared" si="4"/>
        <v>0</v>
      </c>
      <c r="CQ6" s="55">
        <f t="shared" si="4"/>
        <v>0</v>
      </c>
      <c r="CR6" s="55">
        <f t="shared" si="4"/>
        <v>0</v>
      </c>
      <c r="CS6" s="55">
        <f t="shared" si="4"/>
        <v>0</v>
      </c>
      <c r="CT6" s="55">
        <f t="shared" si="4"/>
        <v>0</v>
      </c>
      <c r="CU6" s="55">
        <f t="shared" si="4"/>
        <v>0</v>
      </c>
      <c r="CV6" s="55">
        <f t="shared" si="4"/>
        <v>0</v>
      </c>
      <c r="CW6" s="55">
        <f t="shared" si="4"/>
        <v>0</v>
      </c>
    </row>
    <row r="7" spans="1:101">
      <c r="B7" s="52" t="s">
        <v>135</v>
      </c>
      <c r="C7" s="52" t="s">
        <v>58</v>
      </c>
      <c r="D7" s="52" t="s">
        <v>143</v>
      </c>
      <c r="E7" s="52" t="s">
        <v>52</v>
      </c>
      <c r="F7" s="52" t="s">
        <v>136</v>
      </c>
      <c r="G7" s="75">
        <v>106</v>
      </c>
      <c r="H7" s="4">
        <v>116.27</v>
      </c>
      <c r="I7" s="4">
        <v>116.27</v>
      </c>
      <c r="J7" s="87">
        <v>42629</v>
      </c>
      <c r="L7" s="49">
        <f t="shared" ref="L7:L28" si="5">IF(AND(L$5&lt;=$J7, M$5&gt;$J7), -$I7, 0)</f>
        <v>0</v>
      </c>
      <c r="M7" s="49">
        <f t="shared" ref="M7:M28" si="6">IF(AND(M$5&lt;=$J7, N$5&gt;$J7), -$I7, 0)</f>
        <v>0</v>
      </c>
      <c r="N7" s="49">
        <f t="shared" ref="N7:N28" si="7">IF(AND(N$5&lt;=$J7, O$5&gt;$J7), -$I7, 0)</f>
        <v>0</v>
      </c>
      <c r="O7" s="49">
        <f t="shared" ref="O7:O28" si="8">IF(AND(O$5&lt;=$J7, P$5&gt;$J7), -$I7, 0)</f>
        <v>0</v>
      </c>
      <c r="P7" s="49">
        <f t="shared" ref="P7:P28" si="9">IF(AND(P$5&lt;=$J7, Q$5&gt;$J7), -$I7, 0)</f>
        <v>0</v>
      </c>
      <c r="Q7" s="49">
        <f t="shared" ref="Q7:Q28" si="10">IF(AND(Q$5&lt;=$J7, R$5&gt;$J7), -$I7, 0)</f>
        <v>0</v>
      </c>
      <c r="R7" s="49">
        <f t="shared" ref="R7:R28" si="11">IF(AND(R$5&lt;=$J7, S$5&gt;$J7), -$I7, 0)</f>
        <v>-116.27</v>
      </c>
      <c r="S7" s="49">
        <f t="shared" ref="S7:S28" si="12">IF(AND(S$5&lt;=$J7, T$5&gt;$J7), -$I7, 0)</f>
        <v>0</v>
      </c>
      <c r="T7" s="49">
        <f t="shared" ref="T7:T28" si="13">IF(AND(T$5&lt;=$J7, U$5&gt;$J7), -$I7, 0)</f>
        <v>0</v>
      </c>
      <c r="U7" s="49">
        <f t="shared" ref="U7:U28" si="14">IF(AND(U$5&lt;=$J7, V$5&gt;$J7), -$I7, 0)</f>
        <v>0</v>
      </c>
      <c r="V7" s="49">
        <f t="shared" ref="V7:V28" si="15">IF(AND(V$5&lt;=$J7, W$5&gt;$J7), -$I7, 0)</f>
        <v>0</v>
      </c>
      <c r="W7" s="49">
        <f t="shared" ref="W7:W28" si="16">IF(AND(W$5&lt;=$J7, X$5&gt;$J7), -$I7, 0)</f>
        <v>0</v>
      </c>
      <c r="X7" s="49">
        <f t="shared" ref="X7:X28" si="17">IF(AND(X$5&lt;=$J7, Y$5&gt;$J7), -$I7, 0)</f>
        <v>0</v>
      </c>
      <c r="Y7" s="49">
        <f t="shared" ref="Y7:Y28" si="18">IF(AND(Y$5&lt;=$J7, Z$5&gt;$J7), -$I7, 0)</f>
        <v>0</v>
      </c>
      <c r="Z7" s="49">
        <f t="shared" ref="Z7:Z28" si="19">IF(AND(Z$5&lt;=$J7, AA$5&gt;$J7), -$I7, 0)</f>
        <v>0</v>
      </c>
      <c r="AA7" s="49">
        <f t="shared" ref="AA7:AA28" si="20">IF(AND(AA$5&lt;=$J7, AB$5&gt;$J7), -$I7, 0)</f>
        <v>0</v>
      </c>
      <c r="AB7" s="49">
        <f t="shared" ref="AB7:AB28" si="21">IF(AND(AB$5&lt;=$J7, AC$5&gt;$J7), -$I7, 0)</f>
        <v>0</v>
      </c>
      <c r="AC7" s="49">
        <f t="shared" ref="AC7:AC28" si="22">IF(AND(AC$5&lt;=$J7, AD$5&gt;$J7), -$I7, 0)</f>
        <v>0</v>
      </c>
      <c r="AD7" s="49">
        <f t="shared" ref="AD7:AD28" si="23">IF(AND(AD$5&lt;=$J7, AE$5&gt;$J7), -$I7, 0)</f>
        <v>0</v>
      </c>
      <c r="AE7" s="49">
        <f t="shared" ref="AE7:AE28" si="24">IF(AND(AE$5&lt;=$J7, AF$5&gt;$J7), -$I7, 0)</f>
        <v>0</v>
      </c>
      <c r="AF7" s="49">
        <f t="shared" ref="AF7:AF28" si="25">IF(AND(AF$5&lt;=$J7, AG$5&gt;$J7), -$I7, 0)</f>
        <v>0</v>
      </c>
      <c r="AG7" s="49">
        <f t="shared" ref="AG7:AG28" si="26">IF(AND(AG$5&lt;=$J7, AH$5&gt;$J7), -$I7, 0)</f>
        <v>0</v>
      </c>
      <c r="AH7" s="49">
        <f t="shared" ref="AH7:AH28" si="27">IF(AND(AH$5&lt;=$J7, AI$5&gt;$J7), -$I7, 0)</f>
        <v>0</v>
      </c>
      <c r="AI7" s="49">
        <f t="shared" ref="AI7:AI28" si="28">IF(AND(AI$5&lt;=$J7, AJ$5&gt;$J7), -$I7, 0)</f>
        <v>0</v>
      </c>
      <c r="AJ7" s="49">
        <f t="shared" ref="AJ7:AJ28" si="29">IF(AND(AJ$5&lt;=$J7, AK$5&gt;$J7), -$I7, 0)</f>
        <v>0</v>
      </c>
      <c r="AK7" s="49">
        <f t="shared" ref="AK7:AK28" si="30">IF(AND(AK$5&lt;=$J7, AL$5&gt;$J7), -$I7, 0)</f>
        <v>0</v>
      </c>
      <c r="AL7" s="49">
        <f t="shared" ref="AL7:AL28" si="31">IF(AND(AL$5&lt;=$J7, AM$5&gt;$J7), -$I7, 0)</f>
        <v>0</v>
      </c>
      <c r="AM7" s="49">
        <f t="shared" ref="AM7:AM28" si="32">IF(AND(AM$5&lt;=$J7, AN$5&gt;$J7), -$I7, 0)</f>
        <v>0</v>
      </c>
      <c r="AN7" s="49">
        <f t="shared" ref="AN7:AN28" si="33">IF(AND(AN$5&lt;=$J7, AO$5&gt;$J7), -$I7, 0)</f>
        <v>0</v>
      </c>
      <c r="AO7" s="49">
        <f t="shared" ref="AO7:AO28" si="34">IF(AND(AO$5&lt;=$J7, AP$5&gt;$J7), -$I7, 0)</f>
        <v>0</v>
      </c>
      <c r="AP7" s="49">
        <f t="shared" ref="AP7:AP28" si="35">IF(AND(AP$5&lt;=$J7, AQ$5&gt;$J7), -$I7, 0)</f>
        <v>0</v>
      </c>
      <c r="AQ7" s="49">
        <f t="shared" ref="AQ7:AQ28" si="36">IF(AND(AQ$5&lt;=$J7, AR$5&gt;$J7), -$I7, 0)</f>
        <v>0</v>
      </c>
      <c r="AR7" s="49">
        <f t="shared" ref="AR7:AR28" si="37">IF(AND(AR$5&lt;=$J7, AS$5&gt;$J7), -$I7, 0)</f>
        <v>0</v>
      </c>
      <c r="AS7" s="49">
        <f t="shared" ref="AS7:AS28" si="38">IF(AND(AS$5&lt;=$J7, AT$5&gt;$J7), -$I7, 0)</f>
        <v>0</v>
      </c>
      <c r="AT7" s="49">
        <f t="shared" ref="AT7:AT28" si="39">IF(AND(AT$5&lt;=$J7, AU$5&gt;$J7), -$I7, 0)</f>
        <v>0</v>
      </c>
      <c r="AU7" s="49">
        <f t="shared" ref="AU7:AU28" si="40">IF(AND(AU$5&lt;=$J7, AV$5&gt;$J7), -$I7, 0)</f>
        <v>0</v>
      </c>
      <c r="AV7" s="49">
        <f t="shared" ref="AV7:AV28" si="41">IF(AND(AV$5&lt;=$J7, AW$5&gt;$J7), -$I7, 0)</f>
        <v>0</v>
      </c>
      <c r="AW7" s="49">
        <f t="shared" ref="AW7:AW28" si="42">IF(AND(AW$5&lt;=$J7, AX$5&gt;$J7), -$I7, 0)</f>
        <v>0</v>
      </c>
      <c r="AX7" s="49">
        <f t="shared" ref="AX7:AX28" si="43">IF(AND(AX$5&lt;=$J7, AY$5&gt;$J7), -$I7, 0)</f>
        <v>0</v>
      </c>
      <c r="AY7" s="49">
        <f t="shared" ref="AY7:AY28" si="44">IF(AND(AY$5&lt;=$J7, AZ$5&gt;$J7), -$I7, 0)</f>
        <v>0</v>
      </c>
      <c r="AZ7" s="49">
        <f t="shared" ref="AZ7:AZ28" si="45">IF(AND(AZ$5&lt;=$J7, BA$5&gt;$J7), -$I7, 0)</f>
        <v>0</v>
      </c>
      <c r="BA7" s="49">
        <f t="shared" ref="BA7:BA28" si="46">IF(AND(BA$5&lt;=$J7, BB$5&gt;$J7), -$I7, 0)</f>
        <v>0</v>
      </c>
      <c r="BB7" s="49">
        <f t="shared" ref="BB7:BB28" si="47">IF(AND(BB$5&lt;=$J7, BC$5&gt;$J7), -$I7, 0)</f>
        <v>0</v>
      </c>
      <c r="BC7" s="49">
        <f t="shared" ref="BC7:BC28" si="48">IF(AND(BC$5&lt;=$J7, BD$5&gt;$J7), -$I7, 0)</f>
        <v>0</v>
      </c>
      <c r="BD7" s="49">
        <f t="shared" ref="BD7:BD28" si="49">IF(AND(BD$5&lt;=$J7, BE$5&gt;$J7), -$I7, 0)</f>
        <v>0</v>
      </c>
      <c r="BE7" s="49">
        <f t="shared" ref="BE7:BE28" si="50">IF(AND(BE$5&lt;=$J7, BF$5&gt;$J7), -$I7, 0)</f>
        <v>0</v>
      </c>
      <c r="BF7" s="49">
        <f t="shared" ref="BF7:BF28" si="51">IF(AND(BF$5&lt;=$J7, BG$5&gt;$J7), -$I7, 0)</f>
        <v>0</v>
      </c>
      <c r="BG7" s="49">
        <f t="shared" ref="BG7:BG28" si="52">IF(AND(BG$5&lt;=$J7, BH$5&gt;$J7), -$I7, 0)</f>
        <v>0</v>
      </c>
      <c r="BH7" s="49">
        <f t="shared" ref="BH7:BH28" si="53">IF(AND(BH$5&lt;=$J7, BI$5&gt;$J7), -$I7, 0)</f>
        <v>0</v>
      </c>
      <c r="BI7" s="49">
        <f t="shared" ref="BI7:BI28" si="54">IF(AND(BI$5&lt;=$J7, BJ$5&gt;$J7), -$I7, 0)</f>
        <v>0</v>
      </c>
      <c r="BJ7" s="49">
        <f t="shared" ref="BJ7:BJ28" si="55">IF(AND(BJ$5&lt;=$J7, BK$5&gt;$J7), -$I7, 0)</f>
        <v>0</v>
      </c>
      <c r="BK7" s="49">
        <f t="shared" ref="BK7:BK28" si="56">IF(AND(BK$5&lt;=$J7, BL$5&gt;$J7), -$I7, 0)</f>
        <v>0</v>
      </c>
      <c r="BL7" s="49">
        <f t="shared" ref="BL7:BL28" si="57">IF(AND(BL$5&lt;=$J7, BM$5&gt;$J7), -$I7, 0)</f>
        <v>0</v>
      </c>
      <c r="BM7" s="49">
        <f t="shared" ref="BM7:BM28" si="58">IF(AND(BM$5&lt;=$J7, BN$5&gt;$J7), -$I7, 0)</f>
        <v>0</v>
      </c>
      <c r="BN7" s="49">
        <f t="shared" ref="BN7:BN28" si="59">IF(AND(BN$5&lt;=$J7, BO$5&gt;$J7), -$I7, 0)</f>
        <v>0</v>
      </c>
      <c r="BO7" s="49">
        <f t="shared" ref="BO7:BO28" si="60">IF(AND(BO$5&lt;=$J7, BP$5&gt;$J7), -$I7, 0)</f>
        <v>0</v>
      </c>
      <c r="BP7" s="49">
        <f t="shared" ref="BP7:BP28" si="61">IF(AND(BP$5&lt;=$J7, BQ$5&gt;$J7), -$I7, 0)</f>
        <v>0</v>
      </c>
      <c r="BQ7" s="49">
        <f t="shared" ref="BQ7:BQ28" si="62">IF(AND(BQ$5&lt;=$J7, BR$5&gt;$J7), -$I7, 0)</f>
        <v>0</v>
      </c>
      <c r="BR7" s="49">
        <f t="shared" ref="BR7:BR28" si="63">IF(AND(BR$5&lt;=$J7, BS$5&gt;$J7), -$I7, 0)</f>
        <v>0</v>
      </c>
      <c r="BS7" s="49">
        <f t="shared" ref="BS7:BS28" si="64">IF(AND(BS$5&lt;=$J7, BT$5&gt;$J7), -$I7, 0)</f>
        <v>0</v>
      </c>
      <c r="BT7" s="49">
        <f t="shared" ref="BT7:BT28" si="65">IF(AND(BT$5&lt;=$J7, BU$5&gt;$J7), -$I7, 0)</f>
        <v>0</v>
      </c>
      <c r="BU7" s="49">
        <f t="shared" ref="BU7:BU28" si="66">IF(AND(BU$5&lt;=$J7, BV$5&gt;$J7), -$I7, 0)</f>
        <v>0</v>
      </c>
      <c r="BV7" s="49">
        <f t="shared" ref="BV7:BV28" si="67">IF(AND(BV$5&lt;=$J7, BW$5&gt;$J7), -$I7, 0)</f>
        <v>0</v>
      </c>
      <c r="BW7" s="49">
        <f t="shared" ref="BW7:BW28" si="68">IF(AND(BW$5&lt;=$J7, BX$5&gt;$J7), -$I7, 0)</f>
        <v>0</v>
      </c>
      <c r="BX7" s="49">
        <f t="shared" ref="BX7:BX28" si="69">IF(AND(BX$5&lt;=$J7, BY$5&gt;$J7), -$I7, 0)</f>
        <v>0</v>
      </c>
      <c r="BY7" s="49">
        <f t="shared" ref="BY7:BY28" si="70">IF(AND(BY$5&lt;=$J7, BZ$5&gt;$J7), -$I7, 0)</f>
        <v>0</v>
      </c>
      <c r="BZ7" s="49">
        <f t="shared" ref="BZ7:BZ28" si="71">IF(AND(BZ$5&lt;=$J7, CA$5&gt;$J7), -$I7, 0)</f>
        <v>0</v>
      </c>
      <c r="CA7" s="49">
        <f t="shared" ref="CA7:CA28" si="72">IF(AND(CA$5&lt;=$J7, CB$5&gt;$J7), -$I7, 0)</f>
        <v>0</v>
      </c>
      <c r="CB7" s="49">
        <f t="shared" ref="CB7:CB28" si="73">IF(AND(CB$5&lt;=$J7, CC$5&gt;$J7), -$I7, 0)</f>
        <v>0</v>
      </c>
      <c r="CC7" s="49">
        <f t="shared" ref="CC7:CC28" si="74">IF(AND(CC$5&lt;=$J7, CD$5&gt;$J7), -$I7, 0)</f>
        <v>0</v>
      </c>
      <c r="CD7" s="49">
        <f t="shared" ref="CD7:CD28" si="75">IF(AND(CD$5&lt;=$J7, CE$5&gt;$J7), -$I7, 0)</f>
        <v>0</v>
      </c>
      <c r="CE7" s="49">
        <f t="shared" ref="CE7:CE28" si="76">IF(AND(CE$5&lt;=$J7, CF$5&gt;$J7), -$I7, 0)</f>
        <v>0</v>
      </c>
      <c r="CF7" s="49">
        <f t="shared" ref="CF7:CF28" si="77">IF(AND(CF$5&lt;=$J7, CG$5&gt;$J7), -$I7, 0)</f>
        <v>0</v>
      </c>
      <c r="CG7" s="49">
        <f t="shared" ref="CG7:CG28" si="78">IF(AND(CG$5&lt;=$J7, CH$5&gt;$J7), -$I7, 0)</f>
        <v>0</v>
      </c>
      <c r="CH7" s="49">
        <f t="shared" ref="CH7:CH28" si="79">IF(AND(CH$5&lt;=$J7, CI$5&gt;$J7), -$I7, 0)</f>
        <v>0</v>
      </c>
      <c r="CI7" s="49">
        <f t="shared" ref="CI7:CI28" si="80">IF(AND(CI$5&lt;=$J7, CJ$5&gt;$J7), -$I7, 0)</f>
        <v>0</v>
      </c>
      <c r="CJ7" s="49">
        <f t="shared" ref="CJ7:CJ28" si="81">IF(AND(CJ$5&lt;=$J7, CK$5&gt;$J7), -$I7, 0)</f>
        <v>0</v>
      </c>
      <c r="CK7" s="49">
        <f t="shared" ref="CK7:CK28" si="82">IF(AND(CK$5&lt;=$J7, CL$5&gt;$J7), -$I7, 0)</f>
        <v>0</v>
      </c>
      <c r="CL7" s="49">
        <f t="shared" ref="CL7:CL28" si="83">IF(AND(CL$5&lt;=$J7, CM$5&gt;$J7), -$I7, 0)</f>
        <v>0</v>
      </c>
      <c r="CM7" s="49">
        <f t="shared" ref="CM7:CM28" si="84">IF(AND(CM$5&lt;=$J7, CN$5&gt;$J7), -$I7, 0)</f>
        <v>0</v>
      </c>
      <c r="CN7" s="49">
        <f t="shared" ref="CN7:CN28" si="85">IF(AND(CN$5&lt;=$J7, CO$5&gt;$J7), -$I7, 0)</f>
        <v>0</v>
      </c>
      <c r="CO7" s="49">
        <f t="shared" ref="CO7:CO28" si="86">IF(AND(CO$5&lt;=$J7, CP$5&gt;$J7), -$I7, 0)</f>
        <v>0</v>
      </c>
      <c r="CP7" s="49">
        <f t="shared" ref="CP7:CP28" si="87">IF(AND(CP$5&lt;=$J7, CQ$5&gt;$J7), -$I7, 0)</f>
        <v>0</v>
      </c>
      <c r="CQ7" s="49">
        <f t="shared" ref="CQ7:CQ28" si="88">IF(AND(CQ$5&lt;=$J7, CR$5&gt;$J7), -$I7, 0)</f>
        <v>0</v>
      </c>
      <c r="CR7" s="49">
        <f t="shared" ref="CR7:CR28" si="89">IF(AND(CR$5&lt;=$J7, CS$5&gt;$J7), -$I7, 0)</f>
        <v>0</v>
      </c>
      <c r="CS7" s="49">
        <f t="shared" ref="CS7:CS28" si="90">IF(AND(CS$5&lt;=$J7, CT$5&gt;$J7), -$I7, 0)</f>
        <v>0</v>
      </c>
      <c r="CT7" s="49">
        <f t="shared" ref="CT7:CT28" si="91">IF(AND(CT$5&lt;=$J7, CU$5&gt;$J7), -$I7, 0)</f>
        <v>0</v>
      </c>
      <c r="CU7" s="49">
        <f t="shared" ref="CU7:CU28" si="92">IF(AND(CU$5&lt;=$J7, CV$5&gt;$J7), -$I7, 0)</f>
        <v>0</v>
      </c>
      <c r="CV7" s="49">
        <f t="shared" ref="CV7:CV28" si="93">IF(AND(CV$5&lt;=$J7, CW$5&gt;$J7), -$I7, 0)</f>
        <v>0</v>
      </c>
      <c r="CW7" s="49">
        <f t="shared" ref="CW7:CW28" si="94">IF(AND(CW$5&lt;=$J7, CX$5&gt;$J7), -$I7, 0)</f>
        <v>0</v>
      </c>
    </row>
    <row r="8" spans="1:101">
      <c r="B8" s="52" t="s">
        <v>131</v>
      </c>
      <c r="C8" s="52" t="s">
        <v>58</v>
      </c>
      <c r="D8" s="52" t="s">
        <v>132</v>
      </c>
      <c r="E8" s="52" t="s">
        <v>52</v>
      </c>
      <c r="F8" s="52" t="s">
        <v>131</v>
      </c>
      <c r="G8" s="75">
        <v>101</v>
      </c>
      <c r="H8" s="4">
        <v>10000</v>
      </c>
      <c r="I8" s="4">
        <v>10000</v>
      </c>
      <c r="J8" s="87">
        <v>42629</v>
      </c>
      <c r="L8" s="49">
        <f t="shared" si="5"/>
        <v>0</v>
      </c>
      <c r="M8" s="49">
        <f t="shared" si="6"/>
        <v>0</v>
      </c>
      <c r="N8" s="49">
        <f t="shared" si="7"/>
        <v>0</v>
      </c>
      <c r="O8" s="49">
        <f t="shared" si="8"/>
        <v>0</v>
      </c>
      <c r="P8" s="49">
        <f t="shared" si="9"/>
        <v>0</v>
      </c>
      <c r="Q8" s="49">
        <f t="shared" si="10"/>
        <v>0</v>
      </c>
      <c r="R8" s="49">
        <f t="shared" si="11"/>
        <v>-10000</v>
      </c>
      <c r="S8" s="49">
        <f t="shared" si="12"/>
        <v>0</v>
      </c>
      <c r="T8" s="49">
        <f t="shared" si="13"/>
        <v>0</v>
      </c>
      <c r="U8" s="49">
        <f t="shared" si="14"/>
        <v>0</v>
      </c>
      <c r="V8" s="49">
        <f t="shared" si="15"/>
        <v>0</v>
      </c>
      <c r="W8" s="49">
        <f t="shared" si="16"/>
        <v>0</v>
      </c>
      <c r="X8" s="49">
        <f t="shared" si="17"/>
        <v>0</v>
      </c>
      <c r="Y8" s="49">
        <f t="shared" si="18"/>
        <v>0</v>
      </c>
      <c r="Z8" s="49">
        <f t="shared" si="19"/>
        <v>0</v>
      </c>
      <c r="AA8" s="49">
        <f t="shared" si="20"/>
        <v>0</v>
      </c>
      <c r="AB8" s="49">
        <f t="shared" si="21"/>
        <v>0</v>
      </c>
      <c r="AC8" s="49">
        <f t="shared" si="22"/>
        <v>0</v>
      </c>
      <c r="AD8" s="49">
        <f t="shared" si="23"/>
        <v>0</v>
      </c>
      <c r="AE8" s="49">
        <f t="shared" si="24"/>
        <v>0</v>
      </c>
      <c r="AF8" s="49">
        <f t="shared" si="25"/>
        <v>0</v>
      </c>
      <c r="AG8" s="49">
        <f t="shared" si="26"/>
        <v>0</v>
      </c>
      <c r="AH8" s="49">
        <f t="shared" si="27"/>
        <v>0</v>
      </c>
      <c r="AI8" s="49">
        <f t="shared" si="28"/>
        <v>0</v>
      </c>
      <c r="AJ8" s="49">
        <f t="shared" si="29"/>
        <v>0</v>
      </c>
      <c r="AK8" s="49">
        <f t="shared" si="30"/>
        <v>0</v>
      </c>
      <c r="AL8" s="49">
        <f t="shared" si="31"/>
        <v>0</v>
      </c>
      <c r="AM8" s="49">
        <f t="shared" si="32"/>
        <v>0</v>
      </c>
      <c r="AN8" s="49">
        <f t="shared" si="33"/>
        <v>0</v>
      </c>
      <c r="AO8" s="49">
        <f t="shared" si="34"/>
        <v>0</v>
      </c>
      <c r="AP8" s="49">
        <f t="shared" si="35"/>
        <v>0</v>
      </c>
      <c r="AQ8" s="49">
        <f t="shared" si="36"/>
        <v>0</v>
      </c>
      <c r="AR8" s="49">
        <f t="shared" si="37"/>
        <v>0</v>
      </c>
      <c r="AS8" s="49">
        <f t="shared" si="38"/>
        <v>0</v>
      </c>
      <c r="AT8" s="49">
        <f t="shared" si="39"/>
        <v>0</v>
      </c>
      <c r="AU8" s="49">
        <f t="shared" si="40"/>
        <v>0</v>
      </c>
      <c r="AV8" s="49">
        <f t="shared" si="41"/>
        <v>0</v>
      </c>
      <c r="AW8" s="49">
        <f t="shared" si="42"/>
        <v>0</v>
      </c>
      <c r="AX8" s="49">
        <f t="shared" si="43"/>
        <v>0</v>
      </c>
      <c r="AY8" s="49">
        <f t="shared" si="44"/>
        <v>0</v>
      </c>
      <c r="AZ8" s="49">
        <f t="shared" si="45"/>
        <v>0</v>
      </c>
      <c r="BA8" s="49">
        <f t="shared" si="46"/>
        <v>0</v>
      </c>
      <c r="BB8" s="49">
        <f t="shared" si="47"/>
        <v>0</v>
      </c>
      <c r="BC8" s="49">
        <f t="shared" si="48"/>
        <v>0</v>
      </c>
      <c r="BD8" s="49">
        <f t="shared" si="49"/>
        <v>0</v>
      </c>
      <c r="BE8" s="49">
        <f t="shared" si="50"/>
        <v>0</v>
      </c>
      <c r="BF8" s="49">
        <f t="shared" si="51"/>
        <v>0</v>
      </c>
      <c r="BG8" s="49">
        <f t="shared" si="52"/>
        <v>0</v>
      </c>
      <c r="BH8" s="49">
        <f t="shared" si="53"/>
        <v>0</v>
      </c>
      <c r="BI8" s="49">
        <f t="shared" si="54"/>
        <v>0</v>
      </c>
      <c r="BJ8" s="49">
        <f t="shared" si="55"/>
        <v>0</v>
      </c>
      <c r="BK8" s="49">
        <f t="shared" si="56"/>
        <v>0</v>
      </c>
      <c r="BL8" s="49">
        <f t="shared" si="57"/>
        <v>0</v>
      </c>
      <c r="BM8" s="49">
        <f t="shared" si="58"/>
        <v>0</v>
      </c>
      <c r="BN8" s="49">
        <f t="shared" si="59"/>
        <v>0</v>
      </c>
      <c r="BO8" s="49">
        <f t="shared" si="60"/>
        <v>0</v>
      </c>
      <c r="BP8" s="49">
        <f t="shared" si="61"/>
        <v>0</v>
      </c>
      <c r="BQ8" s="49">
        <f t="shared" si="62"/>
        <v>0</v>
      </c>
      <c r="BR8" s="49">
        <f t="shared" si="63"/>
        <v>0</v>
      </c>
      <c r="BS8" s="49">
        <f t="shared" si="64"/>
        <v>0</v>
      </c>
      <c r="BT8" s="49">
        <f t="shared" si="65"/>
        <v>0</v>
      </c>
      <c r="BU8" s="49">
        <f t="shared" si="66"/>
        <v>0</v>
      </c>
      <c r="BV8" s="49">
        <f t="shared" si="67"/>
        <v>0</v>
      </c>
      <c r="BW8" s="49">
        <f t="shared" si="68"/>
        <v>0</v>
      </c>
      <c r="BX8" s="49">
        <f t="shared" si="69"/>
        <v>0</v>
      </c>
      <c r="BY8" s="49">
        <f t="shared" si="70"/>
        <v>0</v>
      </c>
      <c r="BZ8" s="49">
        <f t="shared" si="71"/>
        <v>0</v>
      </c>
      <c r="CA8" s="49">
        <f t="shared" si="72"/>
        <v>0</v>
      </c>
      <c r="CB8" s="49">
        <f t="shared" si="73"/>
        <v>0</v>
      </c>
      <c r="CC8" s="49">
        <f t="shared" si="74"/>
        <v>0</v>
      </c>
      <c r="CD8" s="49">
        <f t="shared" si="75"/>
        <v>0</v>
      </c>
      <c r="CE8" s="49">
        <f t="shared" si="76"/>
        <v>0</v>
      </c>
      <c r="CF8" s="49">
        <f t="shared" si="77"/>
        <v>0</v>
      </c>
      <c r="CG8" s="49">
        <f t="shared" si="78"/>
        <v>0</v>
      </c>
      <c r="CH8" s="49">
        <f t="shared" si="79"/>
        <v>0</v>
      </c>
      <c r="CI8" s="49">
        <f t="shared" si="80"/>
        <v>0</v>
      </c>
      <c r="CJ8" s="49">
        <f t="shared" si="81"/>
        <v>0</v>
      </c>
      <c r="CK8" s="49">
        <f t="shared" si="82"/>
        <v>0</v>
      </c>
      <c r="CL8" s="49">
        <f t="shared" si="83"/>
        <v>0</v>
      </c>
      <c r="CM8" s="49">
        <f t="shared" si="84"/>
        <v>0</v>
      </c>
      <c r="CN8" s="49">
        <f t="shared" si="85"/>
        <v>0</v>
      </c>
      <c r="CO8" s="49">
        <f t="shared" si="86"/>
        <v>0</v>
      </c>
      <c r="CP8" s="49">
        <f t="shared" si="87"/>
        <v>0</v>
      </c>
      <c r="CQ8" s="49">
        <f t="shared" si="88"/>
        <v>0</v>
      </c>
      <c r="CR8" s="49">
        <f t="shared" si="89"/>
        <v>0</v>
      </c>
      <c r="CS8" s="49">
        <f t="shared" si="90"/>
        <v>0</v>
      </c>
      <c r="CT8" s="49">
        <f t="shared" si="91"/>
        <v>0</v>
      </c>
      <c r="CU8" s="49">
        <f t="shared" si="92"/>
        <v>0</v>
      </c>
      <c r="CV8" s="49">
        <f t="shared" si="93"/>
        <v>0</v>
      </c>
      <c r="CW8" s="49">
        <f t="shared" si="94"/>
        <v>0</v>
      </c>
    </row>
    <row r="9" spans="1:101">
      <c r="B9" s="52" t="s">
        <v>131</v>
      </c>
      <c r="C9" s="52" t="s">
        <v>58</v>
      </c>
      <c r="D9" s="52" t="s">
        <v>133</v>
      </c>
      <c r="E9" s="52" t="s">
        <v>52</v>
      </c>
      <c r="F9" s="52" t="s">
        <v>131</v>
      </c>
      <c r="G9" s="75">
        <v>101</v>
      </c>
      <c r="H9" s="4">
        <v>660</v>
      </c>
      <c r="I9" s="4">
        <v>660</v>
      </c>
      <c r="J9" s="87">
        <v>42629</v>
      </c>
      <c r="L9" s="49">
        <f t="shared" si="5"/>
        <v>0</v>
      </c>
      <c r="M9" s="49">
        <f t="shared" si="6"/>
        <v>0</v>
      </c>
      <c r="N9" s="49">
        <f t="shared" si="7"/>
        <v>0</v>
      </c>
      <c r="O9" s="49">
        <f t="shared" si="8"/>
        <v>0</v>
      </c>
      <c r="P9" s="49">
        <f t="shared" si="9"/>
        <v>0</v>
      </c>
      <c r="Q9" s="49">
        <f t="shared" si="10"/>
        <v>0</v>
      </c>
      <c r="R9" s="49">
        <f t="shared" si="11"/>
        <v>-660</v>
      </c>
      <c r="S9" s="49">
        <f t="shared" si="12"/>
        <v>0</v>
      </c>
      <c r="T9" s="49">
        <f t="shared" si="13"/>
        <v>0</v>
      </c>
      <c r="U9" s="49">
        <f t="shared" si="14"/>
        <v>0</v>
      </c>
      <c r="V9" s="49">
        <f t="shared" si="15"/>
        <v>0</v>
      </c>
      <c r="W9" s="49">
        <f t="shared" si="16"/>
        <v>0</v>
      </c>
      <c r="X9" s="49">
        <f t="shared" si="17"/>
        <v>0</v>
      </c>
      <c r="Y9" s="49">
        <f t="shared" si="18"/>
        <v>0</v>
      </c>
      <c r="Z9" s="49">
        <f t="shared" si="19"/>
        <v>0</v>
      </c>
      <c r="AA9" s="49">
        <f t="shared" si="20"/>
        <v>0</v>
      </c>
      <c r="AB9" s="49">
        <f t="shared" si="21"/>
        <v>0</v>
      </c>
      <c r="AC9" s="49">
        <f t="shared" si="22"/>
        <v>0</v>
      </c>
      <c r="AD9" s="49">
        <f t="shared" si="23"/>
        <v>0</v>
      </c>
      <c r="AE9" s="49">
        <f t="shared" si="24"/>
        <v>0</v>
      </c>
      <c r="AF9" s="49">
        <f t="shared" si="25"/>
        <v>0</v>
      </c>
      <c r="AG9" s="49">
        <f t="shared" si="26"/>
        <v>0</v>
      </c>
      <c r="AH9" s="49">
        <f t="shared" si="27"/>
        <v>0</v>
      </c>
      <c r="AI9" s="49">
        <f t="shared" si="28"/>
        <v>0</v>
      </c>
      <c r="AJ9" s="49">
        <f t="shared" si="29"/>
        <v>0</v>
      </c>
      <c r="AK9" s="49">
        <f t="shared" si="30"/>
        <v>0</v>
      </c>
      <c r="AL9" s="49">
        <f t="shared" si="31"/>
        <v>0</v>
      </c>
      <c r="AM9" s="49">
        <f t="shared" si="32"/>
        <v>0</v>
      </c>
      <c r="AN9" s="49">
        <f t="shared" si="33"/>
        <v>0</v>
      </c>
      <c r="AO9" s="49">
        <f t="shared" si="34"/>
        <v>0</v>
      </c>
      <c r="AP9" s="49">
        <f t="shared" si="35"/>
        <v>0</v>
      </c>
      <c r="AQ9" s="49">
        <f t="shared" si="36"/>
        <v>0</v>
      </c>
      <c r="AR9" s="49">
        <f t="shared" si="37"/>
        <v>0</v>
      </c>
      <c r="AS9" s="49">
        <f t="shared" si="38"/>
        <v>0</v>
      </c>
      <c r="AT9" s="49">
        <f t="shared" si="39"/>
        <v>0</v>
      </c>
      <c r="AU9" s="49">
        <f t="shared" si="40"/>
        <v>0</v>
      </c>
      <c r="AV9" s="49">
        <f t="shared" si="41"/>
        <v>0</v>
      </c>
      <c r="AW9" s="49">
        <f t="shared" si="42"/>
        <v>0</v>
      </c>
      <c r="AX9" s="49">
        <f t="shared" si="43"/>
        <v>0</v>
      </c>
      <c r="AY9" s="49">
        <f t="shared" si="44"/>
        <v>0</v>
      </c>
      <c r="AZ9" s="49">
        <f t="shared" si="45"/>
        <v>0</v>
      </c>
      <c r="BA9" s="49">
        <f t="shared" si="46"/>
        <v>0</v>
      </c>
      <c r="BB9" s="49">
        <f t="shared" si="47"/>
        <v>0</v>
      </c>
      <c r="BC9" s="49">
        <f t="shared" si="48"/>
        <v>0</v>
      </c>
      <c r="BD9" s="49">
        <f t="shared" si="49"/>
        <v>0</v>
      </c>
      <c r="BE9" s="49">
        <f t="shared" si="50"/>
        <v>0</v>
      </c>
      <c r="BF9" s="49">
        <f t="shared" si="51"/>
        <v>0</v>
      </c>
      <c r="BG9" s="49">
        <f t="shared" si="52"/>
        <v>0</v>
      </c>
      <c r="BH9" s="49">
        <f t="shared" si="53"/>
        <v>0</v>
      </c>
      <c r="BI9" s="49">
        <f t="shared" si="54"/>
        <v>0</v>
      </c>
      <c r="BJ9" s="49">
        <f t="shared" si="55"/>
        <v>0</v>
      </c>
      <c r="BK9" s="49">
        <f t="shared" si="56"/>
        <v>0</v>
      </c>
      <c r="BL9" s="49">
        <f t="shared" si="57"/>
        <v>0</v>
      </c>
      <c r="BM9" s="49">
        <f t="shared" si="58"/>
        <v>0</v>
      </c>
      <c r="BN9" s="49">
        <f t="shared" si="59"/>
        <v>0</v>
      </c>
      <c r="BO9" s="49">
        <f t="shared" si="60"/>
        <v>0</v>
      </c>
      <c r="BP9" s="49">
        <f t="shared" si="61"/>
        <v>0</v>
      </c>
      <c r="BQ9" s="49">
        <f t="shared" si="62"/>
        <v>0</v>
      </c>
      <c r="BR9" s="49">
        <f t="shared" si="63"/>
        <v>0</v>
      </c>
      <c r="BS9" s="49">
        <f t="shared" si="64"/>
        <v>0</v>
      </c>
      <c r="BT9" s="49">
        <f t="shared" si="65"/>
        <v>0</v>
      </c>
      <c r="BU9" s="49">
        <f t="shared" si="66"/>
        <v>0</v>
      </c>
      <c r="BV9" s="49">
        <f t="shared" si="67"/>
        <v>0</v>
      </c>
      <c r="BW9" s="49">
        <f t="shared" si="68"/>
        <v>0</v>
      </c>
      <c r="BX9" s="49">
        <f t="shared" si="69"/>
        <v>0</v>
      </c>
      <c r="BY9" s="49">
        <f t="shared" si="70"/>
        <v>0</v>
      </c>
      <c r="BZ9" s="49">
        <f t="shared" si="71"/>
        <v>0</v>
      </c>
      <c r="CA9" s="49">
        <f t="shared" si="72"/>
        <v>0</v>
      </c>
      <c r="CB9" s="49">
        <f t="shared" si="73"/>
        <v>0</v>
      </c>
      <c r="CC9" s="49">
        <f t="shared" si="74"/>
        <v>0</v>
      </c>
      <c r="CD9" s="49">
        <f t="shared" si="75"/>
        <v>0</v>
      </c>
      <c r="CE9" s="49">
        <f t="shared" si="76"/>
        <v>0</v>
      </c>
      <c r="CF9" s="49">
        <f t="shared" si="77"/>
        <v>0</v>
      </c>
      <c r="CG9" s="49">
        <f t="shared" si="78"/>
        <v>0</v>
      </c>
      <c r="CH9" s="49">
        <f t="shared" si="79"/>
        <v>0</v>
      </c>
      <c r="CI9" s="49">
        <f t="shared" si="80"/>
        <v>0</v>
      </c>
      <c r="CJ9" s="49">
        <f t="shared" si="81"/>
        <v>0</v>
      </c>
      <c r="CK9" s="49">
        <f t="shared" si="82"/>
        <v>0</v>
      </c>
      <c r="CL9" s="49">
        <f t="shared" si="83"/>
        <v>0</v>
      </c>
      <c r="CM9" s="49">
        <f t="shared" si="84"/>
        <v>0</v>
      </c>
      <c r="CN9" s="49">
        <f t="shared" si="85"/>
        <v>0</v>
      </c>
      <c r="CO9" s="49">
        <f t="shared" si="86"/>
        <v>0</v>
      </c>
      <c r="CP9" s="49">
        <f t="shared" si="87"/>
        <v>0</v>
      </c>
      <c r="CQ9" s="49">
        <f t="shared" si="88"/>
        <v>0</v>
      </c>
      <c r="CR9" s="49">
        <f t="shared" si="89"/>
        <v>0</v>
      </c>
      <c r="CS9" s="49">
        <f t="shared" si="90"/>
        <v>0</v>
      </c>
      <c r="CT9" s="49">
        <f t="shared" si="91"/>
        <v>0</v>
      </c>
      <c r="CU9" s="49">
        <f t="shared" si="92"/>
        <v>0</v>
      </c>
      <c r="CV9" s="49">
        <f t="shared" si="93"/>
        <v>0</v>
      </c>
      <c r="CW9" s="49">
        <f t="shared" si="94"/>
        <v>0</v>
      </c>
    </row>
    <row r="10" spans="1:101">
      <c r="A10" s="56" t="s">
        <v>59</v>
      </c>
      <c r="H10" s="5">
        <f>SUM(H7:H9)</f>
        <v>10776.27</v>
      </c>
      <c r="I10" s="5">
        <f>SUM(I7:I9)</f>
        <v>10776.27</v>
      </c>
      <c r="J10" s="66"/>
      <c r="L10" s="49">
        <f t="shared" si="5"/>
        <v>0</v>
      </c>
      <c r="M10" s="49">
        <f t="shared" si="6"/>
        <v>0</v>
      </c>
      <c r="N10" s="49">
        <f t="shared" si="7"/>
        <v>0</v>
      </c>
      <c r="O10" s="49">
        <f t="shared" si="8"/>
        <v>0</v>
      </c>
      <c r="P10" s="49">
        <f t="shared" si="9"/>
        <v>0</v>
      </c>
      <c r="Q10" s="49">
        <f t="shared" si="10"/>
        <v>0</v>
      </c>
      <c r="R10" s="49">
        <f t="shared" si="11"/>
        <v>0</v>
      </c>
      <c r="S10" s="49">
        <f t="shared" si="12"/>
        <v>0</v>
      </c>
      <c r="T10" s="49">
        <f t="shared" si="13"/>
        <v>0</v>
      </c>
      <c r="U10" s="49">
        <f t="shared" si="14"/>
        <v>0</v>
      </c>
      <c r="V10" s="49">
        <f t="shared" si="15"/>
        <v>0</v>
      </c>
      <c r="W10" s="49">
        <f t="shared" si="16"/>
        <v>0</v>
      </c>
      <c r="X10" s="49">
        <f t="shared" si="17"/>
        <v>0</v>
      </c>
      <c r="Y10" s="49">
        <f t="shared" si="18"/>
        <v>0</v>
      </c>
      <c r="Z10" s="49">
        <f t="shared" si="19"/>
        <v>0</v>
      </c>
      <c r="AA10" s="49">
        <f t="shared" si="20"/>
        <v>0</v>
      </c>
      <c r="AB10" s="49">
        <f t="shared" si="21"/>
        <v>0</v>
      </c>
      <c r="AC10" s="49">
        <f t="shared" si="22"/>
        <v>0</v>
      </c>
      <c r="AD10" s="49">
        <f t="shared" si="23"/>
        <v>0</v>
      </c>
      <c r="AE10" s="49">
        <f t="shared" si="24"/>
        <v>0</v>
      </c>
      <c r="AF10" s="49">
        <f t="shared" si="25"/>
        <v>0</v>
      </c>
      <c r="AG10" s="49">
        <f t="shared" si="26"/>
        <v>0</v>
      </c>
      <c r="AH10" s="49">
        <f t="shared" si="27"/>
        <v>0</v>
      </c>
      <c r="AI10" s="49">
        <f t="shared" si="28"/>
        <v>0</v>
      </c>
      <c r="AJ10" s="49">
        <f t="shared" si="29"/>
        <v>0</v>
      </c>
      <c r="AK10" s="49">
        <f t="shared" si="30"/>
        <v>0</v>
      </c>
      <c r="AL10" s="49">
        <f t="shared" si="31"/>
        <v>0</v>
      </c>
      <c r="AM10" s="49">
        <f t="shared" si="32"/>
        <v>0</v>
      </c>
      <c r="AN10" s="49">
        <f t="shared" si="33"/>
        <v>0</v>
      </c>
      <c r="AO10" s="49">
        <f t="shared" si="34"/>
        <v>0</v>
      </c>
      <c r="AP10" s="49">
        <f t="shared" si="35"/>
        <v>0</v>
      </c>
      <c r="AQ10" s="49">
        <f t="shared" si="36"/>
        <v>0</v>
      </c>
      <c r="AR10" s="49">
        <f t="shared" si="37"/>
        <v>0</v>
      </c>
      <c r="AS10" s="49">
        <f t="shared" si="38"/>
        <v>0</v>
      </c>
      <c r="AT10" s="49">
        <f t="shared" si="39"/>
        <v>0</v>
      </c>
      <c r="AU10" s="49">
        <f t="shared" si="40"/>
        <v>0</v>
      </c>
      <c r="AV10" s="49">
        <f t="shared" si="41"/>
        <v>0</v>
      </c>
      <c r="AW10" s="49">
        <f t="shared" si="42"/>
        <v>0</v>
      </c>
      <c r="AX10" s="49">
        <f t="shared" si="43"/>
        <v>0</v>
      </c>
      <c r="AY10" s="49">
        <f t="shared" si="44"/>
        <v>0</v>
      </c>
      <c r="AZ10" s="49">
        <f t="shared" si="45"/>
        <v>0</v>
      </c>
      <c r="BA10" s="49">
        <f t="shared" si="46"/>
        <v>0</v>
      </c>
      <c r="BB10" s="49">
        <f t="shared" si="47"/>
        <v>0</v>
      </c>
      <c r="BC10" s="49">
        <f t="shared" si="48"/>
        <v>0</v>
      </c>
      <c r="BD10" s="49">
        <f t="shared" si="49"/>
        <v>0</v>
      </c>
      <c r="BE10" s="49">
        <f t="shared" si="50"/>
        <v>0</v>
      </c>
      <c r="BF10" s="49">
        <f t="shared" si="51"/>
        <v>0</v>
      </c>
      <c r="BG10" s="49">
        <f t="shared" si="52"/>
        <v>0</v>
      </c>
      <c r="BH10" s="49">
        <f t="shared" si="53"/>
        <v>0</v>
      </c>
      <c r="BI10" s="49">
        <f t="shared" si="54"/>
        <v>0</v>
      </c>
      <c r="BJ10" s="49">
        <f t="shared" si="55"/>
        <v>0</v>
      </c>
      <c r="BK10" s="49">
        <f t="shared" si="56"/>
        <v>0</v>
      </c>
      <c r="BL10" s="49">
        <f t="shared" si="57"/>
        <v>0</v>
      </c>
      <c r="BM10" s="49">
        <f t="shared" si="58"/>
        <v>0</v>
      </c>
      <c r="BN10" s="49">
        <f t="shared" si="59"/>
        <v>0</v>
      </c>
      <c r="BO10" s="49">
        <f t="shared" si="60"/>
        <v>0</v>
      </c>
      <c r="BP10" s="49">
        <f t="shared" si="61"/>
        <v>0</v>
      </c>
      <c r="BQ10" s="49">
        <f t="shared" si="62"/>
        <v>0</v>
      </c>
      <c r="BR10" s="49">
        <f t="shared" si="63"/>
        <v>0</v>
      </c>
      <c r="BS10" s="49">
        <f t="shared" si="64"/>
        <v>0</v>
      </c>
      <c r="BT10" s="49">
        <f t="shared" si="65"/>
        <v>0</v>
      </c>
      <c r="BU10" s="49">
        <f t="shared" si="66"/>
        <v>0</v>
      </c>
      <c r="BV10" s="49">
        <f t="shared" si="67"/>
        <v>0</v>
      </c>
      <c r="BW10" s="49">
        <f t="shared" si="68"/>
        <v>0</v>
      </c>
      <c r="BX10" s="49">
        <f t="shared" si="69"/>
        <v>0</v>
      </c>
      <c r="BY10" s="49">
        <f t="shared" si="70"/>
        <v>0</v>
      </c>
      <c r="BZ10" s="49">
        <f t="shared" si="71"/>
        <v>0</v>
      </c>
      <c r="CA10" s="49">
        <f t="shared" si="72"/>
        <v>0</v>
      </c>
      <c r="CB10" s="49">
        <f t="shared" si="73"/>
        <v>0</v>
      </c>
      <c r="CC10" s="49">
        <f t="shared" si="74"/>
        <v>0</v>
      </c>
      <c r="CD10" s="49">
        <f t="shared" si="75"/>
        <v>0</v>
      </c>
      <c r="CE10" s="49">
        <f t="shared" si="76"/>
        <v>0</v>
      </c>
      <c r="CF10" s="49">
        <f t="shared" si="77"/>
        <v>0</v>
      </c>
      <c r="CG10" s="49">
        <f t="shared" si="78"/>
        <v>0</v>
      </c>
      <c r="CH10" s="49">
        <f t="shared" si="79"/>
        <v>0</v>
      </c>
      <c r="CI10" s="49">
        <f t="shared" si="80"/>
        <v>0</v>
      </c>
      <c r="CJ10" s="49">
        <f t="shared" si="81"/>
        <v>0</v>
      </c>
      <c r="CK10" s="49">
        <f t="shared" si="82"/>
        <v>0</v>
      </c>
      <c r="CL10" s="49">
        <f t="shared" si="83"/>
        <v>0</v>
      </c>
      <c r="CM10" s="49">
        <f t="shared" si="84"/>
        <v>0</v>
      </c>
      <c r="CN10" s="49">
        <f t="shared" si="85"/>
        <v>0</v>
      </c>
      <c r="CO10" s="49">
        <f t="shared" si="86"/>
        <v>0</v>
      </c>
      <c r="CP10" s="49">
        <f t="shared" si="87"/>
        <v>0</v>
      </c>
      <c r="CQ10" s="49">
        <f t="shared" si="88"/>
        <v>0</v>
      </c>
      <c r="CR10" s="49">
        <f t="shared" si="89"/>
        <v>0</v>
      </c>
      <c r="CS10" s="49">
        <f t="shared" si="90"/>
        <v>0</v>
      </c>
      <c r="CT10" s="49">
        <f t="shared" si="91"/>
        <v>0</v>
      </c>
      <c r="CU10" s="49">
        <f t="shared" si="92"/>
        <v>0</v>
      </c>
      <c r="CV10" s="49">
        <f t="shared" si="93"/>
        <v>0</v>
      </c>
      <c r="CW10" s="49">
        <f t="shared" si="94"/>
        <v>0</v>
      </c>
    </row>
    <row r="11" spans="1:101">
      <c r="A11" s="56" t="s">
        <v>140</v>
      </c>
      <c r="J11" s="87"/>
      <c r="L11" s="49">
        <f t="shared" si="5"/>
        <v>0</v>
      </c>
      <c r="M11" s="49">
        <f t="shared" si="6"/>
        <v>0</v>
      </c>
      <c r="N11" s="49">
        <f t="shared" si="7"/>
        <v>0</v>
      </c>
      <c r="O11" s="49">
        <f t="shared" si="8"/>
        <v>0</v>
      </c>
      <c r="P11" s="49">
        <f t="shared" si="9"/>
        <v>0</v>
      </c>
      <c r="Q11" s="49">
        <f t="shared" si="10"/>
        <v>0</v>
      </c>
      <c r="R11" s="49">
        <f t="shared" si="11"/>
        <v>0</v>
      </c>
      <c r="S11" s="49">
        <f t="shared" si="12"/>
        <v>0</v>
      </c>
      <c r="T11" s="49">
        <f t="shared" si="13"/>
        <v>0</v>
      </c>
      <c r="U11" s="49">
        <f t="shared" si="14"/>
        <v>0</v>
      </c>
      <c r="V11" s="49">
        <f t="shared" si="15"/>
        <v>0</v>
      </c>
      <c r="W11" s="49">
        <f t="shared" si="16"/>
        <v>0</v>
      </c>
      <c r="X11" s="49">
        <f t="shared" si="17"/>
        <v>0</v>
      </c>
      <c r="Y11" s="49">
        <f t="shared" si="18"/>
        <v>0</v>
      </c>
      <c r="Z11" s="49">
        <f t="shared" si="19"/>
        <v>0</v>
      </c>
      <c r="AA11" s="49">
        <f t="shared" si="20"/>
        <v>0</v>
      </c>
      <c r="AB11" s="49">
        <f t="shared" si="21"/>
        <v>0</v>
      </c>
      <c r="AC11" s="49">
        <f t="shared" si="22"/>
        <v>0</v>
      </c>
      <c r="AD11" s="49">
        <f t="shared" si="23"/>
        <v>0</v>
      </c>
      <c r="AE11" s="49">
        <f t="shared" si="24"/>
        <v>0</v>
      </c>
      <c r="AF11" s="49">
        <f t="shared" si="25"/>
        <v>0</v>
      </c>
      <c r="AG11" s="49">
        <f t="shared" si="26"/>
        <v>0</v>
      </c>
      <c r="AH11" s="49">
        <f t="shared" si="27"/>
        <v>0</v>
      </c>
      <c r="AI11" s="49">
        <f t="shared" si="28"/>
        <v>0</v>
      </c>
      <c r="AJ11" s="49">
        <f t="shared" si="29"/>
        <v>0</v>
      </c>
      <c r="AK11" s="49">
        <f t="shared" si="30"/>
        <v>0</v>
      </c>
      <c r="AL11" s="49">
        <f t="shared" si="31"/>
        <v>0</v>
      </c>
      <c r="AM11" s="49">
        <f t="shared" si="32"/>
        <v>0</v>
      </c>
      <c r="AN11" s="49">
        <f t="shared" si="33"/>
        <v>0</v>
      </c>
      <c r="AO11" s="49">
        <f t="shared" si="34"/>
        <v>0</v>
      </c>
      <c r="AP11" s="49">
        <f t="shared" si="35"/>
        <v>0</v>
      </c>
      <c r="AQ11" s="49">
        <f t="shared" si="36"/>
        <v>0</v>
      </c>
      <c r="AR11" s="49">
        <f t="shared" si="37"/>
        <v>0</v>
      </c>
      <c r="AS11" s="49">
        <f t="shared" si="38"/>
        <v>0</v>
      </c>
      <c r="AT11" s="49">
        <f t="shared" si="39"/>
        <v>0</v>
      </c>
      <c r="AU11" s="49">
        <f t="shared" si="40"/>
        <v>0</v>
      </c>
      <c r="AV11" s="49">
        <f t="shared" si="41"/>
        <v>0</v>
      </c>
      <c r="AW11" s="49">
        <f t="shared" si="42"/>
        <v>0</v>
      </c>
      <c r="AX11" s="49">
        <f t="shared" si="43"/>
        <v>0</v>
      </c>
      <c r="AY11" s="49">
        <f t="shared" si="44"/>
        <v>0</v>
      </c>
      <c r="AZ11" s="49">
        <f t="shared" si="45"/>
        <v>0</v>
      </c>
      <c r="BA11" s="49">
        <f t="shared" si="46"/>
        <v>0</v>
      </c>
      <c r="BB11" s="49">
        <f t="shared" si="47"/>
        <v>0</v>
      </c>
      <c r="BC11" s="49">
        <f t="shared" si="48"/>
        <v>0</v>
      </c>
      <c r="BD11" s="49">
        <f t="shared" si="49"/>
        <v>0</v>
      </c>
      <c r="BE11" s="49">
        <f t="shared" si="50"/>
        <v>0</v>
      </c>
      <c r="BF11" s="49">
        <f t="shared" si="51"/>
        <v>0</v>
      </c>
      <c r="BG11" s="49">
        <f t="shared" si="52"/>
        <v>0</v>
      </c>
      <c r="BH11" s="49">
        <f t="shared" si="53"/>
        <v>0</v>
      </c>
      <c r="BI11" s="49">
        <f t="shared" si="54"/>
        <v>0</v>
      </c>
      <c r="BJ11" s="49">
        <f t="shared" si="55"/>
        <v>0</v>
      </c>
      <c r="BK11" s="49">
        <f t="shared" si="56"/>
        <v>0</v>
      </c>
      <c r="BL11" s="49">
        <f t="shared" si="57"/>
        <v>0</v>
      </c>
      <c r="BM11" s="49">
        <f t="shared" si="58"/>
        <v>0</v>
      </c>
      <c r="BN11" s="49">
        <f t="shared" si="59"/>
        <v>0</v>
      </c>
      <c r="BO11" s="49">
        <f t="shared" si="60"/>
        <v>0</v>
      </c>
      <c r="BP11" s="49">
        <f t="shared" si="61"/>
        <v>0</v>
      </c>
      <c r="BQ11" s="49">
        <f t="shared" si="62"/>
        <v>0</v>
      </c>
      <c r="BR11" s="49">
        <f t="shared" si="63"/>
        <v>0</v>
      </c>
      <c r="BS11" s="49">
        <f t="shared" si="64"/>
        <v>0</v>
      </c>
      <c r="BT11" s="49">
        <f t="shared" si="65"/>
        <v>0</v>
      </c>
      <c r="BU11" s="49">
        <f t="shared" si="66"/>
        <v>0</v>
      </c>
      <c r="BV11" s="49">
        <f t="shared" si="67"/>
        <v>0</v>
      </c>
      <c r="BW11" s="49">
        <f t="shared" si="68"/>
        <v>0</v>
      </c>
      <c r="BX11" s="49">
        <f t="shared" si="69"/>
        <v>0</v>
      </c>
      <c r="BY11" s="49">
        <f t="shared" si="70"/>
        <v>0</v>
      </c>
      <c r="BZ11" s="49">
        <f t="shared" si="71"/>
        <v>0</v>
      </c>
      <c r="CA11" s="49">
        <f t="shared" si="72"/>
        <v>0</v>
      </c>
      <c r="CB11" s="49">
        <f t="shared" si="73"/>
        <v>0</v>
      </c>
      <c r="CC11" s="49">
        <f t="shared" si="74"/>
        <v>0</v>
      </c>
      <c r="CD11" s="49">
        <f t="shared" si="75"/>
        <v>0</v>
      </c>
      <c r="CE11" s="49">
        <f t="shared" si="76"/>
        <v>0</v>
      </c>
      <c r="CF11" s="49">
        <f t="shared" si="77"/>
        <v>0</v>
      </c>
      <c r="CG11" s="49">
        <f t="shared" si="78"/>
        <v>0</v>
      </c>
      <c r="CH11" s="49">
        <f t="shared" si="79"/>
        <v>0</v>
      </c>
      <c r="CI11" s="49">
        <f t="shared" si="80"/>
        <v>0</v>
      </c>
      <c r="CJ11" s="49">
        <f t="shared" si="81"/>
        <v>0</v>
      </c>
      <c r="CK11" s="49">
        <f t="shared" si="82"/>
        <v>0</v>
      </c>
      <c r="CL11" s="49">
        <f t="shared" si="83"/>
        <v>0</v>
      </c>
      <c r="CM11" s="49">
        <f t="shared" si="84"/>
        <v>0</v>
      </c>
      <c r="CN11" s="49">
        <f t="shared" si="85"/>
        <v>0</v>
      </c>
      <c r="CO11" s="49">
        <f t="shared" si="86"/>
        <v>0</v>
      </c>
      <c r="CP11" s="49">
        <f t="shared" si="87"/>
        <v>0</v>
      </c>
      <c r="CQ11" s="49">
        <f t="shared" si="88"/>
        <v>0</v>
      </c>
      <c r="CR11" s="49">
        <f t="shared" si="89"/>
        <v>0</v>
      </c>
      <c r="CS11" s="49">
        <f t="shared" si="90"/>
        <v>0</v>
      </c>
      <c r="CT11" s="49">
        <f t="shared" si="91"/>
        <v>0</v>
      </c>
      <c r="CU11" s="49">
        <f t="shared" si="92"/>
        <v>0</v>
      </c>
      <c r="CV11" s="49">
        <f t="shared" si="93"/>
        <v>0</v>
      </c>
      <c r="CW11" s="49">
        <f t="shared" si="94"/>
        <v>0</v>
      </c>
    </row>
    <row r="12" spans="1:101">
      <c r="B12" s="52" t="s">
        <v>131</v>
      </c>
      <c r="C12" s="52" t="s">
        <v>58</v>
      </c>
      <c r="D12" s="52">
        <v>136177</v>
      </c>
      <c r="E12" s="52" t="s">
        <v>52</v>
      </c>
      <c r="F12" s="52" t="s">
        <v>134</v>
      </c>
      <c r="G12" s="75">
        <v>71</v>
      </c>
      <c r="H12" s="4">
        <v>328.5</v>
      </c>
      <c r="I12" s="4">
        <v>328.5</v>
      </c>
      <c r="J12" s="87"/>
      <c r="L12" s="49">
        <f t="shared" si="5"/>
        <v>0</v>
      </c>
      <c r="M12" s="49">
        <f t="shared" si="6"/>
        <v>0</v>
      </c>
      <c r="N12" s="49">
        <f t="shared" si="7"/>
        <v>0</v>
      </c>
      <c r="O12" s="49">
        <f t="shared" si="8"/>
        <v>0</v>
      </c>
      <c r="P12" s="49">
        <f t="shared" si="9"/>
        <v>0</v>
      </c>
      <c r="Q12" s="49">
        <f t="shared" si="10"/>
        <v>0</v>
      </c>
      <c r="R12" s="49">
        <f t="shared" si="11"/>
        <v>0</v>
      </c>
      <c r="S12" s="49">
        <f t="shared" si="12"/>
        <v>0</v>
      </c>
      <c r="T12" s="49">
        <f t="shared" si="13"/>
        <v>0</v>
      </c>
      <c r="U12" s="49">
        <f t="shared" si="14"/>
        <v>0</v>
      </c>
      <c r="V12" s="49">
        <f t="shared" si="15"/>
        <v>0</v>
      </c>
      <c r="W12" s="49">
        <f t="shared" si="16"/>
        <v>0</v>
      </c>
      <c r="X12" s="49">
        <f t="shared" si="17"/>
        <v>0</v>
      </c>
      <c r="Y12" s="49">
        <f t="shared" si="18"/>
        <v>0</v>
      </c>
      <c r="Z12" s="49">
        <f t="shared" si="19"/>
        <v>0</v>
      </c>
      <c r="AA12" s="49">
        <f t="shared" si="20"/>
        <v>0</v>
      </c>
      <c r="AB12" s="49">
        <f t="shared" si="21"/>
        <v>0</v>
      </c>
      <c r="AC12" s="49">
        <f t="shared" si="22"/>
        <v>0</v>
      </c>
      <c r="AD12" s="49">
        <f t="shared" si="23"/>
        <v>0</v>
      </c>
      <c r="AE12" s="49">
        <f t="shared" si="24"/>
        <v>0</v>
      </c>
      <c r="AF12" s="49">
        <f t="shared" si="25"/>
        <v>0</v>
      </c>
      <c r="AG12" s="49">
        <f t="shared" si="26"/>
        <v>0</v>
      </c>
      <c r="AH12" s="49">
        <f t="shared" si="27"/>
        <v>0</v>
      </c>
      <c r="AI12" s="49">
        <f t="shared" si="28"/>
        <v>0</v>
      </c>
      <c r="AJ12" s="49">
        <f t="shared" si="29"/>
        <v>0</v>
      </c>
      <c r="AK12" s="49">
        <f t="shared" si="30"/>
        <v>0</v>
      </c>
      <c r="AL12" s="49">
        <f t="shared" si="31"/>
        <v>0</v>
      </c>
      <c r="AM12" s="49">
        <f t="shared" si="32"/>
        <v>0</v>
      </c>
      <c r="AN12" s="49">
        <f t="shared" si="33"/>
        <v>0</v>
      </c>
      <c r="AO12" s="49">
        <f t="shared" si="34"/>
        <v>0</v>
      </c>
      <c r="AP12" s="49">
        <f t="shared" si="35"/>
        <v>0</v>
      </c>
      <c r="AQ12" s="49">
        <f t="shared" si="36"/>
        <v>0</v>
      </c>
      <c r="AR12" s="49">
        <f t="shared" si="37"/>
        <v>0</v>
      </c>
      <c r="AS12" s="49">
        <f t="shared" si="38"/>
        <v>0</v>
      </c>
      <c r="AT12" s="49">
        <f t="shared" si="39"/>
        <v>0</v>
      </c>
      <c r="AU12" s="49">
        <f t="shared" si="40"/>
        <v>0</v>
      </c>
      <c r="AV12" s="49">
        <f t="shared" si="41"/>
        <v>0</v>
      </c>
      <c r="AW12" s="49">
        <f t="shared" si="42"/>
        <v>0</v>
      </c>
      <c r="AX12" s="49">
        <f t="shared" si="43"/>
        <v>0</v>
      </c>
      <c r="AY12" s="49">
        <f t="shared" si="44"/>
        <v>0</v>
      </c>
      <c r="AZ12" s="49">
        <f t="shared" si="45"/>
        <v>0</v>
      </c>
      <c r="BA12" s="49">
        <f t="shared" si="46"/>
        <v>0</v>
      </c>
      <c r="BB12" s="49">
        <f t="shared" si="47"/>
        <v>0</v>
      </c>
      <c r="BC12" s="49">
        <f t="shared" si="48"/>
        <v>0</v>
      </c>
      <c r="BD12" s="49">
        <f t="shared" si="49"/>
        <v>0</v>
      </c>
      <c r="BE12" s="49">
        <f t="shared" si="50"/>
        <v>0</v>
      </c>
      <c r="BF12" s="49">
        <f t="shared" si="51"/>
        <v>0</v>
      </c>
      <c r="BG12" s="49">
        <f t="shared" si="52"/>
        <v>0</v>
      </c>
      <c r="BH12" s="49">
        <f t="shared" si="53"/>
        <v>0</v>
      </c>
      <c r="BI12" s="49">
        <f t="shared" si="54"/>
        <v>0</v>
      </c>
      <c r="BJ12" s="49">
        <f t="shared" si="55"/>
        <v>0</v>
      </c>
      <c r="BK12" s="49">
        <f t="shared" si="56"/>
        <v>0</v>
      </c>
      <c r="BL12" s="49">
        <f t="shared" si="57"/>
        <v>0</v>
      </c>
      <c r="BM12" s="49">
        <f t="shared" si="58"/>
        <v>0</v>
      </c>
      <c r="BN12" s="49">
        <f t="shared" si="59"/>
        <v>0</v>
      </c>
      <c r="BO12" s="49">
        <f t="shared" si="60"/>
        <v>0</v>
      </c>
      <c r="BP12" s="49">
        <f t="shared" si="61"/>
        <v>0</v>
      </c>
      <c r="BQ12" s="49">
        <f t="shared" si="62"/>
        <v>0</v>
      </c>
      <c r="BR12" s="49">
        <f t="shared" si="63"/>
        <v>0</v>
      </c>
      <c r="BS12" s="49">
        <f t="shared" si="64"/>
        <v>0</v>
      </c>
      <c r="BT12" s="49">
        <f t="shared" si="65"/>
        <v>0</v>
      </c>
      <c r="BU12" s="49">
        <f t="shared" si="66"/>
        <v>0</v>
      </c>
      <c r="BV12" s="49">
        <f t="shared" si="67"/>
        <v>0</v>
      </c>
      <c r="BW12" s="49">
        <f t="shared" si="68"/>
        <v>0</v>
      </c>
      <c r="BX12" s="49">
        <f t="shared" si="69"/>
        <v>0</v>
      </c>
      <c r="BY12" s="49">
        <f t="shared" si="70"/>
        <v>0</v>
      </c>
      <c r="BZ12" s="49">
        <f t="shared" si="71"/>
        <v>0</v>
      </c>
      <c r="CA12" s="49">
        <f t="shared" si="72"/>
        <v>0</v>
      </c>
      <c r="CB12" s="49">
        <f t="shared" si="73"/>
        <v>0</v>
      </c>
      <c r="CC12" s="49">
        <f t="shared" si="74"/>
        <v>0</v>
      </c>
      <c r="CD12" s="49">
        <f t="shared" si="75"/>
        <v>0</v>
      </c>
      <c r="CE12" s="49">
        <f t="shared" si="76"/>
        <v>0</v>
      </c>
      <c r="CF12" s="49">
        <f t="shared" si="77"/>
        <v>0</v>
      </c>
      <c r="CG12" s="49">
        <f t="shared" si="78"/>
        <v>0</v>
      </c>
      <c r="CH12" s="49">
        <f t="shared" si="79"/>
        <v>0</v>
      </c>
      <c r="CI12" s="49">
        <f t="shared" si="80"/>
        <v>0</v>
      </c>
      <c r="CJ12" s="49">
        <f t="shared" si="81"/>
        <v>0</v>
      </c>
      <c r="CK12" s="49">
        <f t="shared" si="82"/>
        <v>0</v>
      </c>
      <c r="CL12" s="49">
        <f t="shared" si="83"/>
        <v>0</v>
      </c>
      <c r="CM12" s="49">
        <f t="shared" si="84"/>
        <v>0</v>
      </c>
      <c r="CN12" s="49">
        <f t="shared" si="85"/>
        <v>0</v>
      </c>
      <c r="CO12" s="49">
        <f t="shared" si="86"/>
        <v>0</v>
      </c>
      <c r="CP12" s="49">
        <f t="shared" si="87"/>
        <v>0</v>
      </c>
      <c r="CQ12" s="49">
        <f t="shared" si="88"/>
        <v>0</v>
      </c>
      <c r="CR12" s="49">
        <f t="shared" si="89"/>
        <v>0</v>
      </c>
      <c r="CS12" s="49">
        <f t="shared" si="90"/>
        <v>0</v>
      </c>
      <c r="CT12" s="49">
        <f t="shared" si="91"/>
        <v>0</v>
      </c>
      <c r="CU12" s="49">
        <f t="shared" si="92"/>
        <v>0</v>
      </c>
      <c r="CV12" s="49">
        <f t="shared" si="93"/>
        <v>0</v>
      </c>
      <c r="CW12" s="49">
        <f t="shared" si="94"/>
        <v>0</v>
      </c>
    </row>
    <row r="13" spans="1:101">
      <c r="B13" s="52" t="s">
        <v>134</v>
      </c>
      <c r="C13" s="52" t="s">
        <v>58</v>
      </c>
      <c r="D13" s="52" t="s">
        <v>142</v>
      </c>
      <c r="E13" s="52" t="s">
        <v>52</v>
      </c>
      <c r="F13" s="52" t="s">
        <v>134</v>
      </c>
      <c r="G13" s="75">
        <v>71</v>
      </c>
      <c r="H13" s="4">
        <v>797.5</v>
      </c>
      <c r="I13" s="4">
        <v>797.5</v>
      </c>
      <c r="J13" s="87">
        <v>42629</v>
      </c>
      <c r="L13" s="49">
        <f t="shared" si="5"/>
        <v>0</v>
      </c>
      <c r="M13" s="49">
        <f t="shared" si="6"/>
        <v>0</v>
      </c>
      <c r="N13" s="49">
        <f t="shared" si="7"/>
        <v>0</v>
      </c>
      <c r="O13" s="49">
        <f t="shared" si="8"/>
        <v>0</v>
      </c>
      <c r="P13" s="49">
        <f t="shared" si="9"/>
        <v>0</v>
      </c>
      <c r="Q13" s="49">
        <f t="shared" si="10"/>
        <v>0</v>
      </c>
      <c r="R13" s="49">
        <f t="shared" si="11"/>
        <v>-797.5</v>
      </c>
      <c r="S13" s="49">
        <f t="shared" si="12"/>
        <v>0</v>
      </c>
      <c r="T13" s="49">
        <f t="shared" si="13"/>
        <v>0</v>
      </c>
      <c r="U13" s="49">
        <f t="shared" si="14"/>
        <v>0</v>
      </c>
      <c r="V13" s="49">
        <f t="shared" si="15"/>
        <v>0</v>
      </c>
      <c r="W13" s="49">
        <f t="shared" si="16"/>
        <v>0</v>
      </c>
      <c r="X13" s="49">
        <f t="shared" si="17"/>
        <v>0</v>
      </c>
      <c r="Y13" s="49">
        <f t="shared" si="18"/>
        <v>0</v>
      </c>
      <c r="Z13" s="49">
        <f t="shared" si="19"/>
        <v>0</v>
      </c>
      <c r="AA13" s="49">
        <f t="shared" si="20"/>
        <v>0</v>
      </c>
      <c r="AB13" s="49">
        <f t="shared" si="21"/>
        <v>0</v>
      </c>
      <c r="AC13" s="49">
        <f t="shared" si="22"/>
        <v>0</v>
      </c>
      <c r="AD13" s="49">
        <f t="shared" si="23"/>
        <v>0</v>
      </c>
      <c r="AE13" s="49">
        <f t="shared" si="24"/>
        <v>0</v>
      </c>
      <c r="AF13" s="49">
        <f t="shared" si="25"/>
        <v>0</v>
      </c>
      <c r="AG13" s="49">
        <f t="shared" si="26"/>
        <v>0</v>
      </c>
      <c r="AH13" s="49">
        <f t="shared" si="27"/>
        <v>0</v>
      </c>
      <c r="AI13" s="49">
        <f t="shared" si="28"/>
        <v>0</v>
      </c>
      <c r="AJ13" s="49">
        <f t="shared" si="29"/>
        <v>0</v>
      </c>
      <c r="AK13" s="49">
        <f t="shared" si="30"/>
        <v>0</v>
      </c>
      <c r="AL13" s="49">
        <f t="shared" si="31"/>
        <v>0</v>
      </c>
      <c r="AM13" s="49">
        <f t="shared" si="32"/>
        <v>0</v>
      </c>
      <c r="AN13" s="49">
        <f t="shared" si="33"/>
        <v>0</v>
      </c>
      <c r="AO13" s="49">
        <f t="shared" si="34"/>
        <v>0</v>
      </c>
      <c r="AP13" s="49">
        <f t="shared" si="35"/>
        <v>0</v>
      </c>
      <c r="AQ13" s="49">
        <f t="shared" si="36"/>
        <v>0</v>
      </c>
      <c r="AR13" s="49">
        <f t="shared" si="37"/>
        <v>0</v>
      </c>
      <c r="AS13" s="49">
        <f t="shared" si="38"/>
        <v>0</v>
      </c>
      <c r="AT13" s="49">
        <f t="shared" si="39"/>
        <v>0</v>
      </c>
      <c r="AU13" s="49">
        <f t="shared" si="40"/>
        <v>0</v>
      </c>
      <c r="AV13" s="49">
        <f t="shared" si="41"/>
        <v>0</v>
      </c>
      <c r="AW13" s="49">
        <f t="shared" si="42"/>
        <v>0</v>
      </c>
      <c r="AX13" s="49">
        <f t="shared" si="43"/>
        <v>0</v>
      </c>
      <c r="AY13" s="49">
        <f t="shared" si="44"/>
        <v>0</v>
      </c>
      <c r="AZ13" s="49">
        <f t="shared" si="45"/>
        <v>0</v>
      </c>
      <c r="BA13" s="49">
        <f t="shared" si="46"/>
        <v>0</v>
      </c>
      <c r="BB13" s="49">
        <f t="shared" si="47"/>
        <v>0</v>
      </c>
      <c r="BC13" s="49">
        <f t="shared" si="48"/>
        <v>0</v>
      </c>
      <c r="BD13" s="49">
        <f t="shared" si="49"/>
        <v>0</v>
      </c>
      <c r="BE13" s="49">
        <f t="shared" si="50"/>
        <v>0</v>
      </c>
      <c r="BF13" s="49">
        <f t="shared" si="51"/>
        <v>0</v>
      </c>
      <c r="BG13" s="49">
        <f t="shared" si="52"/>
        <v>0</v>
      </c>
      <c r="BH13" s="49">
        <f t="shared" si="53"/>
        <v>0</v>
      </c>
      <c r="BI13" s="49">
        <f t="shared" si="54"/>
        <v>0</v>
      </c>
      <c r="BJ13" s="49">
        <f t="shared" si="55"/>
        <v>0</v>
      </c>
      <c r="BK13" s="49">
        <f t="shared" si="56"/>
        <v>0</v>
      </c>
      <c r="BL13" s="49">
        <f t="shared" si="57"/>
        <v>0</v>
      </c>
      <c r="BM13" s="49">
        <f t="shared" si="58"/>
        <v>0</v>
      </c>
      <c r="BN13" s="49">
        <f t="shared" si="59"/>
        <v>0</v>
      </c>
      <c r="BO13" s="49">
        <f t="shared" si="60"/>
        <v>0</v>
      </c>
      <c r="BP13" s="49">
        <f t="shared" si="61"/>
        <v>0</v>
      </c>
      <c r="BQ13" s="49">
        <f t="shared" si="62"/>
        <v>0</v>
      </c>
      <c r="BR13" s="49">
        <f t="shared" si="63"/>
        <v>0</v>
      </c>
      <c r="BS13" s="49">
        <f t="shared" si="64"/>
        <v>0</v>
      </c>
      <c r="BT13" s="49">
        <f t="shared" si="65"/>
        <v>0</v>
      </c>
      <c r="BU13" s="49">
        <f t="shared" si="66"/>
        <v>0</v>
      </c>
      <c r="BV13" s="49">
        <f t="shared" si="67"/>
        <v>0</v>
      </c>
      <c r="BW13" s="49">
        <f t="shared" si="68"/>
        <v>0</v>
      </c>
      <c r="BX13" s="49">
        <f t="shared" si="69"/>
        <v>0</v>
      </c>
      <c r="BY13" s="49">
        <f t="shared" si="70"/>
        <v>0</v>
      </c>
      <c r="BZ13" s="49">
        <f t="shared" si="71"/>
        <v>0</v>
      </c>
      <c r="CA13" s="49">
        <f t="shared" si="72"/>
        <v>0</v>
      </c>
      <c r="CB13" s="49">
        <f t="shared" si="73"/>
        <v>0</v>
      </c>
      <c r="CC13" s="49">
        <f t="shared" si="74"/>
        <v>0</v>
      </c>
      <c r="CD13" s="49">
        <f t="shared" si="75"/>
        <v>0</v>
      </c>
      <c r="CE13" s="49">
        <f t="shared" si="76"/>
        <v>0</v>
      </c>
      <c r="CF13" s="49">
        <f t="shared" si="77"/>
        <v>0</v>
      </c>
      <c r="CG13" s="49">
        <f t="shared" si="78"/>
        <v>0</v>
      </c>
      <c r="CH13" s="49">
        <f t="shared" si="79"/>
        <v>0</v>
      </c>
      <c r="CI13" s="49">
        <f t="shared" si="80"/>
        <v>0</v>
      </c>
      <c r="CJ13" s="49">
        <f t="shared" si="81"/>
        <v>0</v>
      </c>
      <c r="CK13" s="49">
        <f t="shared" si="82"/>
        <v>0</v>
      </c>
      <c r="CL13" s="49">
        <f t="shared" si="83"/>
        <v>0</v>
      </c>
      <c r="CM13" s="49">
        <f t="shared" si="84"/>
        <v>0</v>
      </c>
      <c r="CN13" s="49">
        <f t="shared" si="85"/>
        <v>0</v>
      </c>
      <c r="CO13" s="49">
        <f t="shared" si="86"/>
        <v>0</v>
      </c>
      <c r="CP13" s="49">
        <f t="shared" si="87"/>
        <v>0</v>
      </c>
      <c r="CQ13" s="49">
        <f t="shared" si="88"/>
        <v>0</v>
      </c>
      <c r="CR13" s="49">
        <f t="shared" si="89"/>
        <v>0</v>
      </c>
      <c r="CS13" s="49">
        <f t="shared" si="90"/>
        <v>0</v>
      </c>
      <c r="CT13" s="49">
        <f t="shared" si="91"/>
        <v>0</v>
      </c>
      <c r="CU13" s="49">
        <f t="shared" si="92"/>
        <v>0</v>
      </c>
      <c r="CV13" s="49">
        <f t="shared" si="93"/>
        <v>0</v>
      </c>
      <c r="CW13" s="49">
        <f t="shared" si="94"/>
        <v>0</v>
      </c>
    </row>
    <row r="14" spans="1:101">
      <c r="A14" s="56" t="s">
        <v>141</v>
      </c>
      <c r="H14" s="5">
        <f>H12+H13</f>
        <v>1126</v>
      </c>
      <c r="I14" s="5">
        <f>I12+I13</f>
        <v>1126</v>
      </c>
      <c r="J14" s="66"/>
      <c r="L14" s="49">
        <f t="shared" si="5"/>
        <v>0</v>
      </c>
      <c r="M14" s="49">
        <f t="shared" si="6"/>
        <v>0</v>
      </c>
      <c r="N14" s="49">
        <f t="shared" si="7"/>
        <v>0</v>
      </c>
      <c r="O14" s="49">
        <f t="shared" si="8"/>
        <v>0</v>
      </c>
      <c r="P14" s="49">
        <f t="shared" si="9"/>
        <v>0</v>
      </c>
      <c r="Q14" s="49">
        <f t="shared" si="10"/>
        <v>0</v>
      </c>
      <c r="R14" s="49">
        <f t="shared" si="11"/>
        <v>0</v>
      </c>
      <c r="S14" s="49">
        <f t="shared" si="12"/>
        <v>0</v>
      </c>
      <c r="T14" s="49">
        <f t="shared" si="13"/>
        <v>0</v>
      </c>
      <c r="U14" s="49">
        <f t="shared" si="14"/>
        <v>0</v>
      </c>
      <c r="V14" s="49">
        <f t="shared" si="15"/>
        <v>0</v>
      </c>
      <c r="W14" s="49">
        <f t="shared" si="16"/>
        <v>0</v>
      </c>
      <c r="X14" s="49">
        <f t="shared" si="17"/>
        <v>0</v>
      </c>
      <c r="Y14" s="49">
        <f t="shared" si="18"/>
        <v>0</v>
      </c>
      <c r="Z14" s="49">
        <f t="shared" si="19"/>
        <v>0</v>
      </c>
      <c r="AA14" s="49">
        <f t="shared" si="20"/>
        <v>0</v>
      </c>
      <c r="AB14" s="49">
        <f t="shared" si="21"/>
        <v>0</v>
      </c>
      <c r="AC14" s="49">
        <f t="shared" si="22"/>
        <v>0</v>
      </c>
      <c r="AD14" s="49">
        <f t="shared" si="23"/>
        <v>0</v>
      </c>
      <c r="AE14" s="49">
        <f t="shared" si="24"/>
        <v>0</v>
      </c>
      <c r="AF14" s="49">
        <f t="shared" si="25"/>
        <v>0</v>
      </c>
      <c r="AG14" s="49">
        <f t="shared" si="26"/>
        <v>0</v>
      </c>
      <c r="AH14" s="49">
        <f t="shared" si="27"/>
        <v>0</v>
      </c>
      <c r="AI14" s="49">
        <f t="shared" si="28"/>
        <v>0</v>
      </c>
      <c r="AJ14" s="49">
        <f t="shared" si="29"/>
        <v>0</v>
      </c>
      <c r="AK14" s="49">
        <f t="shared" si="30"/>
        <v>0</v>
      </c>
      <c r="AL14" s="49">
        <f t="shared" si="31"/>
        <v>0</v>
      </c>
      <c r="AM14" s="49">
        <f t="shared" si="32"/>
        <v>0</v>
      </c>
      <c r="AN14" s="49">
        <f t="shared" si="33"/>
        <v>0</v>
      </c>
      <c r="AO14" s="49">
        <f t="shared" si="34"/>
        <v>0</v>
      </c>
      <c r="AP14" s="49">
        <f t="shared" si="35"/>
        <v>0</v>
      </c>
      <c r="AQ14" s="49">
        <f t="shared" si="36"/>
        <v>0</v>
      </c>
      <c r="AR14" s="49">
        <f t="shared" si="37"/>
        <v>0</v>
      </c>
      <c r="AS14" s="49">
        <f t="shared" si="38"/>
        <v>0</v>
      </c>
      <c r="AT14" s="49">
        <f t="shared" si="39"/>
        <v>0</v>
      </c>
      <c r="AU14" s="49">
        <f t="shared" si="40"/>
        <v>0</v>
      </c>
      <c r="AV14" s="49">
        <f t="shared" si="41"/>
        <v>0</v>
      </c>
      <c r="AW14" s="49">
        <f t="shared" si="42"/>
        <v>0</v>
      </c>
      <c r="AX14" s="49">
        <f t="shared" si="43"/>
        <v>0</v>
      </c>
      <c r="AY14" s="49">
        <f t="shared" si="44"/>
        <v>0</v>
      </c>
      <c r="AZ14" s="49">
        <f t="shared" si="45"/>
        <v>0</v>
      </c>
      <c r="BA14" s="49">
        <f t="shared" si="46"/>
        <v>0</v>
      </c>
      <c r="BB14" s="49">
        <f t="shared" si="47"/>
        <v>0</v>
      </c>
      <c r="BC14" s="49">
        <f t="shared" si="48"/>
        <v>0</v>
      </c>
      <c r="BD14" s="49">
        <f t="shared" si="49"/>
        <v>0</v>
      </c>
      <c r="BE14" s="49">
        <f t="shared" si="50"/>
        <v>0</v>
      </c>
      <c r="BF14" s="49">
        <f t="shared" si="51"/>
        <v>0</v>
      </c>
      <c r="BG14" s="49">
        <f t="shared" si="52"/>
        <v>0</v>
      </c>
      <c r="BH14" s="49">
        <f t="shared" si="53"/>
        <v>0</v>
      </c>
      <c r="BI14" s="49">
        <f t="shared" si="54"/>
        <v>0</v>
      </c>
      <c r="BJ14" s="49">
        <f t="shared" si="55"/>
        <v>0</v>
      </c>
      <c r="BK14" s="49">
        <f t="shared" si="56"/>
        <v>0</v>
      </c>
      <c r="BL14" s="49">
        <f t="shared" si="57"/>
        <v>0</v>
      </c>
      <c r="BM14" s="49">
        <f t="shared" si="58"/>
        <v>0</v>
      </c>
      <c r="BN14" s="49">
        <f t="shared" si="59"/>
        <v>0</v>
      </c>
      <c r="BO14" s="49">
        <f t="shared" si="60"/>
        <v>0</v>
      </c>
      <c r="BP14" s="49">
        <f t="shared" si="61"/>
        <v>0</v>
      </c>
      <c r="BQ14" s="49">
        <f t="shared" si="62"/>
        <v>0</v>
      </c>
      <c r="BR14" s="49">
        <f t="shared" si="63"/>
        <v>0</v>
      </c>
      <c r="BS14" s="49">
        <f t="shared" si="64"/>
        <v>0</v>
      </c>
      <c r="BT14" s="49">
        <f t="shared" si="65"/>
        <v>0</v>
      </c>
      <c r="BU14" s="49">
        <f t="shared" si="66"/>
        <v>0</v>
      </c>
      <c r="BV14" s="49">
        <f t="shared" si="67"/>
        <v>0</v>
      </c>
      <c r="BW14" s="49">
        <f t="shared" si="68"/>
        <v>0</v>
      </c>
      <c r="BX14" s="49">
        <f t="shared" si="69"/>
        <v>0</v>
      </c>
      <c r="BY14" s="49">
        <f t="shared" si="70"/>
        <v>0</v>
      </c>
      <c r="BZ14" s="49">
        <f t="shared" si="71"/>
        <v>0</v>
      </c>
      <c r="CA14" s="49">
        <f t="shared" si="72"/>
        <v>0</v>
      </c>
      <c r="CB14" s="49">
        <f t="shared" si="73"/>
        <v>0</v>
      </c>
      <c r="CC14" s="49">
        <f t="shared" si="74"/>
        <v>0</v>
      </c>
      <c r="CD14" s="49">
        <f t="shared" si="75"/>
        <v>0</v>
      </c>
      <c r="CE14" s="49">
        <f t="shared" si="76"/>
        <v>0</v>
      </c>
      <c r="CF14" s="49">
        <f t="shared" si="77"/>
        <v>0</v>
      </c>
      <c r="CG14" s="49">
        <f t="shared" si="78"/>
        <v>0</v>
      </c>
      <c r="CH14" s="49">
        <f t="shared" si="79"/>
        <v>0</v>
      </c>
      <c r="CI14" s="49">
        <f t="shared" si="80"/>
        <v>0</v>
      </c>
      <c r="CJ14" s="49">
        <f t="shared" si="81"/>
        <v>0</v>
      </c>
      <c r="CK14" s="49">
        <f t="shared" si="82"/>
        <v>0</v>
      </c>
      <c r="CL14" s="49">
        <f t="shared" si="83"/>
        <v>0</v>
      </c>
      <c r="CM14" s="49">
        <f t="shared" si="84"/>
        <v>0</v>
      </c>
      <c r="CN14" s="49">
        <f t="shared" si="85"/>
        <v>0</v>
      </c>
      <c r="CO14" s="49">
        <f t="shared" si="86"/>
        <v>0</v>
      </c>
      <c r="CP14" s="49">
        <f t="shared" si="87"/>
        <v>0</v>
      </c>
      <c r="CQ14" s="49">
        <f t="shared" si="88"/>
        <v>0</v>
      </c>
      <c r="CR14" s="49">
        <f t="shared" si="89"/>
        <v>0</v>
      </c>
      <c r="CS14" s="49">
        <f t="shared" si="90"/>
        <v>0</v>
      </c>
      <c r="CT14" s="49">
        <f t="shared" si="91"/>
        <v>0</v>
      </c>
      <c r="CU14" s="49">
        <f t="shared" si="92"/>
        <v>0</v>
      </c>
      <c r="CV14" s="49">
        <f t="shared" si="93"/>
        <v>0</v>
      </c>
      <c r="CW14" s="49">
        <f t="shared" si="94"/>
        <v>0</v>
      </c>
    </row>
    <row r="15" spans="1:101">
      <c r="A15" s="56" t="s">
        <v>129</v>
      </c>
      <c r="J15" s="66"/>
      <c r="L15" s="49">
        <f t="shared" si="5"/>
        <v>0</v>
      </c>
      <c r="M15" s="49">
        <f t="shared" si="6"/>
        <v>0</v>
      </c>
      <c r="N15" s="49">
        <f t="shared" si="7"/>
        <v>0</v>
      </c>
      <c r="O15" s="49">
        <f t="shared" si="8"/>
        <v>0</v>
      </c>
      <c r="P15" s="49">
        <f t="shared" si="9"/>
        <v>0</v>
      </c>
      <c r="Q15" s="49">
        <f t="shared" si="10"/>
        <v>0</v>
      </c>
      <c r="R15" s="49">
        <f t="shared" si="11"/>
        <v>0</v>
      </c>
      <c r="S15" s="49">
        <f t="shared" si="12"/>
        <v>0</v>
      </c>
      <c r="T15" s="49">
        <f t="shared" si="13"/>
        <v>0</v>
      </c>
      <c r="U15" s="49">
        <f t="shared" si="14"/>
        <v>0</v>
      </c>
      <c r="V15" s="49">
        <f t="shared" si="15"/>
        <v>0</v>
      </c>
      <c r="W15" s="49">
        <f t="shared" si="16"/>
        <v>0</v>
      </c>
      <c r="X15" s="49">
        <f t="shared" si="17"/>
        <v>0</v>
      </c>
      <c r="Y15" s="49">
        <f t="shared" si="18"/>
        <v>0</v>
      </c>
      <c r="Z15" s="49">
        <f t="shared" si="19"/>
        <v>0</v>
      </c>
      <c r="AA15" s="49">
        <f t="shared" si="20"/>
        <v>0</v>
      </c>
      <c r="AB15" s="49">
        <f t="shared" si="21"/>
        <v>0</v>
      </c>
      <c r="AC15" s="49">
        <f t="shared" si="22"/>
        <v>0</v>
      </c>
      <c r="AD15" s="49">
        <f t="shared" si="23"/>
        <v>0</v>
      </c>
      <c r="AE15" s="49">
        <f t="shared" si="24"/>
        <v>0</v>
      </c>
      <c r="AF15" s="49">
        <f t="shared" si="25"/>
        <v>0</v>
      </c>
      <c r="AG15" s="49">
        <f t="shared" si="26"/>
        <v>0</v>
      </c>
      <c r="AH15" s="49">
        <f t="shared" si="27"/>
        <v>0</v>
      </c>
      <c r="AI15" s="49">
        <f t="shared" si="28"/>
        <v>0</v>
      </c>
      <c r="AJ15" s="49">
        <f t="shared" si="29"/>
        <v>0</v>
      </c>
      <c r="AK15" s="49">
        <f t="shared" si="30"/>
        <v>0</v>
      </c>
      <c r="AL15" s="49">
        <f t="shared" si="31"/>
        <v>0</v>
      </c>
      <c r="AM15" s="49">
        <f t="shared" si="32"/>
        <v>0</v>
      </c>
      <c r="AN15" s="49">
        <f t="shared" si="33"/>
        <v>0</v>
      </c>
      <c r="AO15" s="49">
        <f t="shared" si="34"/>
        <v>0</v>
      </c>
      <c r="AP15" s="49">
        <f t="shared" si="35"/>
        <v>0</v>
      </c>
      <c r="AQ15" s="49">
        <f t="shared" si="36"/>
        <v>0</v>
      </c>
      <c r="AR15" s="49">
        <f t="shared" si="37"/>
        <v>0</v>
      </c>
      <c r="AS15" s="49">
        <f t="shared" si="38"/>
        <v>0</v>
      </c>
      <c r="AT15" s="49">
        <f t="shared" si="39"/>
        <v>0</v>
      </c>
      <c r="AU15" s="49">
        <f t="shared" si="40"/>
        <v>0</v>
      </c>
      <c r="AV15" s="49">
        <f t="shared" si="41"/>
        <v>0</v>
      </c>
      <c r="AW15" s="49">
        <f t="shared" si="42"/>
        <v>0</v>
      </c>
      <c r="AX15" s="49">
        <f t="shared" si="43"/>
        <v>0</v>
      </c>
      <c r="AY15" s="49">
        <f t="shared" si="44"/>
        <v>0</v>
      </c>
      <c r="AZ15" s="49">
        <f t="shared" si="45"/>
        <v>0</v>
      </c>
      <c r="BA15" s="49">
        <f t="shared" si="46"/>
        <v>0</v>
      </c>
      <c r="BB15" s="49">
        <f t="shared" si="47"/>
        <v>0</v>
      </c>
      <c r="BC15" s="49">
        <f t="shared" si="48"/>
        <v>0</v>
      </c>
      <c r="BD15" s="49">
        <f t="shared" si="49"/>
        <v>0</v>
      </c>
      <c r="BE15" s="49">
        <f t="shared" si="50"/>
        <v>0</v>
      </c>
      <c r="BF15" s="49">
        <f t="shared" si="51"/>
        <v>0</v>
      </c>
      <c r="BG15" s="49">
        <f t="shared" si="52"/>
        <v>0</v>
      </c>
      <c r="BH15" s="49">
        <f t="shared" si="53"/>
        <v>0</v>
      </c>
      <c r="BI15" s="49">
        <f t="shared" si="54"/>
        <v>0</v>
      </c>
      <c r="BJ15" s="49">
        <f t="shared" si="55"/>
        <v>0</v>
      </c>
      <c r="BK15" s="49">
        <f t="shared" si="56"/>
        <v>0</v>
      </c>
      <c r="BL15" s="49">
        <f t="shared" si="57"/>
        <v>0</v>
      </c>
      <c r="BM15" s="49">
        <f t="shared" si="58"/>
        <v>0</v>
      </c>
      <c r="BN15" s="49">
        <f t="shared" si="59"/>
        <v>0</v>
      </c>
      <c r="BO15" s="49">
        <f t="shared" si="60"/>
        <v>0</v>
      </c>
      <c r="BP15" s="49">
        <f t="shared" si="61"/>
        <v>0</v>
      </c>
      <c r="BQ15" s="49">
        <f t="shared" si="62"/>
        <v>0</v>
      </c>
      <c r="BR15" s="49">
        <f t="shared" si="63"/>
        <v>0</v>
      </c>
      <c r="BS15" s="49">
        <f t="shared" si="64"/>
        <v>0</v>
      </c>
      <c r="BT15" s="49">
        <f t="shared" si="65"/>
        <v>0</v>
      </c>
      <c r="BU15" s="49">
        <f t="shared" si="66"/>
        <v>0</v>
      </c>
      <c r="BV15" s="49">
        <f t="shared" si="67"/>
        <v>0</v>
      </c>
      <c r="BW15" s="49">
        <f t="shared" si="68"/>
        <v>0</v>
      </c>
      <c r="BX15" s="49">
        <f t="shared" si="69"/>
        <v>0</v>
      </c>
      <c r="BY15" s="49">
        <f t="shared" si="70"/>
        <v>0</v>
      </c>
      <c r="BZ15" s="49">
        <f t="shared" si="71"/>
        <v>0</v>
      </c>
      <c r="CA15" s="49">
        <f t="shared" si="72"/>
        <v>0</v>
      </c>
      <c r="CB15" s="49">
        <f t="shared" si="73"/>
        <v>0</v>
      </c>
      <c r="CC15" s="49">
        <f t="shared" si="74"/>
        <v>0</v>
      </c>
      <c r="CD15" s="49">
        <f t="shared" si="75"/>
        <v>0</v>
      </c>
      <c r="CE15" s="49">
        <f t="shared" si="76"/>
        <v>0</v>
      </c>
      <c r="CF15" s="49">
        <f t="shared" si="77"/>
        <v>0</v>
      </c>
      <c r="CG15" s="49">
        <f t="shared" si="78"/>
        <v>0</v>
      </c>
      <c r="CH15" s="49">
        <f t="shared" si="79"/>
        <v>0</v>
      </c>
      <c r="CI15" s="49">
        <f t="shared" si="80"/>
        <v>0</v>
      </c>
      <c r="CJ15" s="49">
        <f t="shared" si="81"/>
        <v>0</v>
      </c>
      <c r="CK15" s="49">
        <f t="shared" si="82"/>
        <v>0</v>
      </c>
      <c r="CL15" s="49">
        <f t="shared" si="83"/>
        <v>0</v>
      </c>
      <c r="CM15" s="49">
        <f t="shared" si="84"/>
        <v>0</v>
      </c>
      <c r="CN15" s="49">
        <f t="shared" si="85"/>
        <v>0</v>
      </c>
      <c r="CO15" s="49">
        <f t="shared" si="86"/>
        <v>0</v>
      </c>
      <c r="CP15" s="49">
        <f t="shared" si="87"/>
        <v>0</v>
      </c>
      <c r="CQ15" s="49">
        <f t="shared" si="88"/>
        <v>0</v>
      </c>
      <c r="CR15" s="49">
        <f t="shared" si="89"/>
        <v>0</v>
      </c>
      <c r="CS15" s="49">
        <f t="shared" si="90"/>
        <v>0</v>
      </c>
      <c r="CT15" s="49">
        <f t="shared" si="91"/>
        <v>0</v>
      </c>
      <c r="CU15" s="49">
        <f t="shared" si="92"/>
        <v>0</v>
      </c>
      <c r="CV15" s="49">
        <f t="shared" si="93"/>
        <v>0</v>
      </c>
      <c r="CW15" s="49">
        <f t="shared" si="94"/>
        <v>0</v>
      </c>
    </row>
    <row r="16" spans="1:101">
      <c r="B16" s="52" t="s">
        <v>144</v>
      </c>
      <c r="C16" s="52" t="s">
        <v>58</v>
      </c>
      <c r="D16" s="52">
        <v>138725</v>
      </c>
      <c r="E16" s="52" t="s">
        <v>52</v>
      </c>
      <c r="F16" s="52" t="s">
        <v>145</v>
      </c>
      <c r="G16" s="75">
        <v>15</v>
      </c>
      <c r="H16" s="4">
        <v>36.5</v>
      </c>
      <c r="I16" s="4">
        <v>36.5</v>
      </c>
      <c r="J16" s="87">
        <v>42675</v>
      </c>
      <c r="L16" s="49">
        <f t="shared" si="5"/>
        <v>0</v>
      </c>
      <c r="M16" s="49">
        <f t="shared" si="6"/>
        <v>0</v>
      </c>
      <c r="N16" s="49">
        <f t="shared" si="7"/>
        <v>0</v>
      </c>
      <c r="O16" s="49">
        <f t="shared" si="8"/>
        <v>0</v>
      </c>
      <c r="P16" s="49">
        <f t="shared" si="9"/>
        <v>0</v>
      </c>
      <c r="Q16" s="49">
        <f t="shared" si="10"/>
        <v>0</v>
      </c>
      <c r="R16" s="49">
        <f t="shared" si="11"/>
        <v>0</v>
      </c>
      <c r="S16" s="49">
        <f t="shared" si="12"/>
        <v>0</v>
      </c>
      <c r="T16" s="49">
        <f t="shared" si="13"/>
        <v>0</v>
      </c>
      <c r="U16" s="49">
        <f t="shared" si="14"/>
        <v>0</v>
      </c>
      <c r="V16" s="49">
        <f t="shared" si="15"/>
        <v>0</v>
      </c>
      <c r="W16" s="49">
        <f t="shared" si="16"/>
        <v>0</v>
      </c>
      <c r="X16" s="49">
        <f t="shared" si="17"/>
        <v>-36.5</v>
      </c>
      <c r="Y16" s="49">
        <f t="shared" si="18"/>
        <v>0</v>
      </c>
      <c r="Z16" s="49">
        <f t="shared" si="19"/>
        <v>0</v>
      </c>
      <c r="AA16" s="49">
        <f t="shared" si="20"/>
        <v>0</v>
      </c>
      <c r="AB16" s="49">
        <f t="shared" si="21"/>
        <v>0</v>
      </c>
      <c r="AC16" s="49">
        <f t="shared" si="22"/>
        <v>0</v>
      </c>
      <c r="AD16" s="49">
        <f t="shared" si="23"/>
        <v>0</v>
      </c>
      <c r="AE16" s="49">
        <f t="shared" si="24"/>
        <v>0</v>
      </c>
      <c r="AF16" s="49">
        <f t="shared" si="25"/>
        <v>0</v>
      </c>
      <c r="AG16" s="49">
        <f t="shared" si="26"/>
        <v>0</v>
      </c>
      <c r="AH16" s="49">
        <f t="shared" si="27"/>
        <v>0</v>
      </c>
      <c r="AI16" s="49">
        <f t="shared" si="28"/>
        <v>0</v>
      </c>
      <c r="AJ16" s="49">
        <f t="shared" si="29"/>
        <v>0</v>
      </c>
      <c r="AK16" s="49">
        <f t="shared" si="30"/>
        <v>0</v>
      </c>
      <c r="AL16" s="49">
        <f t="shared" si="31"/>
        <v>0</v>
      </c>
      <c r="AM16" s="49">
        <f t="shared" si="32"/>
        <v>0</v>
      </c>
      <c r="AN16" s="49">
        <f t="shared" si="33"/>
        <v>0</v>
      </c>
      <c r="AO16" s="49">
        <f t="shared" si="34"/>
        <v>0</v>
      </c>
      <c r="AP16" s="49">
        <f t="shared" si="35"/>
        <v>0</v>
      </c>
      <c r="AQ16" s="49">
        <f t="shared" si="36"/>
        <v>0</v>
      </c>
      <c r="AR16" s="49">
        <f t="shared" si="37"/>
        <v>0</v>
      </c>
      <c r="AS16" s="49">
        <f t="shared" si="38"/>
        <v>0</v>
      </c>
      <c r="AT16" s="49">
        <f t="shared" si="39"/>
        <v>0</v>
      </c>
      <c r="AU16" s="49">
        <f t="shared" si="40"/>
        <v>0</v>
      </c>
      <c r="AV16" s="49">
        <f t="shared" si="41"/>
        <v>0</v>
      </c>
      <c r="AW16" s="49">
        <f t="shared" si="42"/>
        <v>0</v>
      </c>
      <c r="AX16" s="49">
        <f t="shared" si="43"/>
        <v>0</v>
      </c>
      <c r="AY16" s="49">
        <f t="shared" si="44"/>
        <v>0</v>
      </c>
      <c r="AZ16" s="49">
        <f t="shared" si="45"/>
        <v>0</v>
      </c>
      <c r="BA16" s="49">
        <f t="shared" si="46"/>
        <v>0</v>
      </c>
      <c r="BB16" s="49">
        <f t="shared" si="47"/>
        <v>0</v>
      </c>
      <c r="BC16" s="49">
        <f t="shared" si="48"/>
        <v>0</v>
      </c>
      <c r="BD16" s="49">
        <f t="shared" si="49"/>
        <v>0</v>
      </c>
      <c r="BE16" s="49">
        <f t="shared" si="50"/>
        <v>0</v>
      </c>
      <c r="BF16" s="49">
        <f t="shared" si="51"/>
        <v>0</v>
      </c>
      <c r="BG16" s="49">
        <f t="shared" si="52"/>
        <v>0</v>
      </c>
      <c r="BH16" s="49">
        <f t="shared" si="53"/>
        <v>0</v>
      </c>
      <c r="BI16" s="49">
        <f t="shared" si="54"/>
        <v>0</v>
      </c>
      <c r="BJ16" s="49">
        <f t="shared" si="55"/>
        <v>0</v>
      </c>
      <c r="BK16" s="49">
        <f t="shared" si="56"/>
        <v>0</v>
      </c>
      <c r="BL16" s="49">
        <f t="shared" si="57"/>
        <v>0</v>
      </c>
      <c r="BM16" s="49">
        <f t="shared" si="58"/>
        <v>0</v>
      </c>
      <c r="BN16" s="49">
        <f t="shared" si="59"/>
        <v>0</v>
      </c>
      <c r="BO16" s="49">
        <f t="shared" si="60"/>
        <v>0</v>
      </c>
      <c r="BP16" s="49">
        <f t="shared" si="61"/>
        <v>0</v>
      </c>
      <c r="BQ16" s="49">
        <f t="shared" si="62"/>
        <v>0</v>
      </c>
      <c r="BR16" s="49">
        <f t="shared" si="63"/>
        <v>0</v>
      </c>
      <c r="BS16" s="49">
        <f t="shared" si="64"/>
        <v>0</v>
      </c>
      <c r="BT16" s="49">
        <f t="shared" si="65"/>
        <v>0</v>
      </c>
      <c r="BU16" s="49">
        <f t="shared" si="66"/>
        <v>0</v>
      </c>
      <c r="BV16" s="49">
        <f t="shared" si="67"/>
        <v>0</v>
      </c>
      <c r="BW16" s="49">
        <f t="shared" si="68"/>
        <v>0</v>
      </c>
      <c r="BX16" s="49">
        <f t="shared" si="69"/>
        <v>0</v>
      </c>
      <c r="BY16" s="49">
        <f t="shared" si="70"/>
        <v>0</v>
      </c>
      <c r="BZ16" s="49">
        <f t="shared" si="71"/>
        <v>0</v>
      </c>
      <c r="CA16" s="49">
        <f t="shared" si="72"/>
        <v>0</v>
      </c>
      <c r="CB16" s="49">
        <f t="shared" si="73"/>
        <v>0</v>
      </c>
      <c r="CC16" s="49">
        <f t="shared" si="74"/>
        <v>0</v>
      </c>
      <c r="CD16" s="49">
        <f t="shared" si="75"/>
        <v>0</v>
      </c>
      <c r="CE16" s="49">
        <f t="shared" si="76"/>
        <v>0</v>
      </c>
      <c r="CF16" s="49">
        <f t="shared" si="77"/>
        <v>0</v>
      </c>
      <c r="CG16" s="49">
        <f t="shared" si="78"/>
        <v>0</v>
      </c>
      <c r="CH16" s="49">
        <f t="shared" si="79"/>
        <v>0</v>
      </c>
      <c r="CI16" s="49">
        <f t="shared" si="80"/>
        <v>0</v>
      </c>
      <c r="CJ16" s="49">
        <f t="shared" si="81"/>
        <v>0</v>
      </c>
      <c r="CK16" s="49">
        <f t="shared" si="82"/>
        <v>0</v>
      </c>
      <c r="CL16" s="49">
        <f t="shared" si="83"/>
        <v>0</v>
      </c>
      <c r="CM16" s="49">
        <f t="shared" si="84"/>
        <v>0</v>
      </c>
      <c r="CN16" s="49">
        <f t="shared" si="85"/>
        <v>0</v>
      </c>
      <c r="CO16" s="49">
        <f t="shared" si="86"/>
        <v>0</v>
      </c>
      <c r="CP16" s="49">
        <f t="shared" si="87"/>
        <v>0</v>
      </c>
      <c r="CQ16" s="49">
        <f t="shared" si="88"/>
        <v>0</v>
      </c>
      <c r="CR16" s="49">
        <f t="shared" si="89"/>
        <v>0</v>
      </c>
      <c r="CS16" s="49">
        <f t="shared" si="90"/>
        <v>0</v>
      </c>
      <c r="CT16" s="49">
        <f t="shared" si="91"/>
        <v>0</v>
      </c>
      <c r="CU16" s="49">
        <f t="shared" si="92"/>
        <v>0</v>
      </c>
      <c r="CV16" s="49">
        <f t="shared" si="93"/>
        <v>0</v>
      </c>
      <c r="CW16" s="49">
        <f t="shared" si="94"/>
        <v>0</v>
      </c>
    </row>
    <row r="17" spans="1:101">
      <c r="B17" s="52" t="s">
        <v>148</v>
      </c>
      <c r="C17" s="52" t="s">
        <v>58</v>
      </c>
      <c r="D17" s="52">
        <v>1133</v>
      </c>
      <c r="E17" s="52" t="s">
        <v>52</v>
      </c>
      <c r="F17" s="52" t="s">
        <v>148</v>
      </c>
      <c r="G17" s="75">
        <v>9</v>
      </c>
      <c r="H17" s="4">
        <v>12110</v>
      </c>
      <c r="I17" s="4">
        <v>12110</v>
      </c>
      <c r="J17" s="87">
        <v>42629</v>
      </c>
      <c r="L17" s="49">
        <f t="shared" si="5"/>
        <v>0</v>
      </c>
      <c r="M17" s="49">
        <f t="shared" si="6"/>
        <v>0</v>
      </c>
      <c r="N17" s="49">
        <f t="shared" si="7"/>
        <v>0</v>
      </c>
      <c r="O17" s="49">
        <f t="shared" si="8"/>
        <v>0</v>
      </c>
      <c r="P17" s="49">
        <f t="shared" si="9"/>
        <v>0</v>
      </c>
      <c r="Q17" s="49">
        <f t="shared" si="10"/>
        <v>0</v>
      </c>
      <c r="R17" s="49">
        <f t="shared" si="11"/>
        <v>-12110</v>
      </c>
      <c r="S17" s="49">
        <f t="shared" si="12"/>
        <v>0</v>
      </c>
      <c r="T17" s="49">
        <f t="shared" si="13"/>
        <v>0</v>
      </c>
      <c r="U17" s="49">
        <f t="shared" si="14"/>
        <v>0</v>
      </c>
      <c r="V17" s="49">
        <f t="shared" si="15"/>
        <v>0</v>
      </c>
      <c r="W17" s="49">
        <f t="shared" si="16"/>
        <v>0</v>
      </c>
      <c r="X17" s="49">
        <f t="shared" si="17"/>
        <v>0</v>
      </c>
      <c r="Y17" s="49">
        <f t="shared" si="18"/>
        <v>0</v>
      </c>
      <c r="Z17" s="49">
        <f t="shared" si="19"/>
        <v>0</v>
      </c>
      <c r="AA17" s="49">
        <f t="shared" si="20"/>
        <v>0</v>
      </c>
      <c r="AB17" s="49">
        <f t="shared" si="21"/>
        <v>0</v>
      </c>
      <c r="AC17" s="49">
        <f t="shared" si="22"/>
        <v>0</v>
      </c>
      <c r="AD17" s="49">
        <f t="shared" si="23"/>
        <v>0</v>
      </c>
      <c r="AE17" s="49">
        <f t="shared" si="24"/>
        <v>0</v>
      </c>
      <c r="AF17" s="49">
        <f t="shared" si="25"/>
        <v>0</v>
      </c>
      <c r="AG17" s="49">
        <f t="shared" si="26"/>
        <v>0</v>
      </c>
      <c r="AH17" s="49">
        <f t="shared" si="27"/>
        <v>0</v>
      </c>
      <c r="AI17" s="49">
        <f t="shared" si="28"/>
        <v>0</v>
      </c>
      <c r="AJ17" s="49">
        <f t="shared" si="29"/>
        <v>0</v>
      </c>
      <c r="AK17" s="49">
        <f t="shared" si="30"/>
        <v>0</v>
      </c>
      <c r="AL17" s="49">
        <f t="shared" si="31"/>
        <v>0</v>
      </c>
      <c r="AM17" s="49">
        <f t="shared" si="32"/>
        <v>0</v>
      </c>
      <c r="AN17" s="49">
        <f t="shared" si="33"/>
        <v>0</v>
      </c>
      <c r="AO17" s="49">
        <f t="shared" si="34"/>
        <v>0</v>
      </c>
      <c r="AP17" s="49">
        <f t="shared" si="35"/>
        <v>0</v>
      </c>
      <c r="AQ17" s="49">
        <f t="shared" si="36"/>
        <v>0</v>
      </c>
      <c r="AR17" s="49">
        <f t="shared" si="37"/>
        <v>0</v>
      </c>
      <c r="AS17" s="49">
        <f t="shared" si="38"/>
        <v>0</v>
      </c>
      <c r="AT17" s="49">
        <f t="shared" si="39"/>
        <v>0</v>
      </c>
      <c r="AU17" s="49">
        <f t="shared" si="40"/>
        <v>0</v>
      </c>
      <c r="AV17" s="49">
        <f t="shared" si="41"/>
        <v>0</v>
      </c>
      <c r="AW17" s="49">
        <f t="shared" si="42"/>
        <v>0</v>
      </c>
      <c r="AX17" s="49">
        <f t="shared" si="43"/>
        <v>0</v>
      </c>
      <c r="AY17" s="49">
        <f t="shared" si="44"/>
        <v>0</v>
      </c>
      <c r="AZ17" s="49">
        <f t="shared" si="45"/>
        <v>0</v>
      </c>
      <c r="BA17" s="49">
        <f t="shared" si="46"/>
        <v>0</v>
      </c>
      <c r="BB17" s="49">
        <f t="shared" si="47"/>
        <v>0</v>
      </c>
      <c r="BC17" s="49">
        <f t="shared" si="48"/>
        <v>0</v>
      </c>
      <c r="BD17" s="49">
        <f t="shared" si="49"/>
        <v>0</v>
      </c>
      <c r="BE17" s="49">
        <f t="shared" si="50"/>
        <v>0</v>
      </c>
      <c r="BF17" s="49">
        <f t="shared" si="51"/>
        <v>0</v>
      </c>
      <c r="BG17" s="49">
        <f t="shared" si="52"/>
        <v>0</v>
      </c>
      <c r="BH17" s="49">
        <f t="shared" si="53"/>
        <v>0</v>
      </c>
      <c r="BI17" s="49">
        <f t="shared" si="54"/>
        <v>0</v>
      </c>
      <c r="BJ17" s="49">
        <f t="shared" si="55"/>
        <v>0</v>
      </c>
      <c r="BK17" s="49">
        <f t="shared" si="56"/>
        <v>0</v>
      </c>
      <c r="BL17" s="49">
        <f t="shared" si="57"/>
        <v>0</v>
      </c>
      <c r="BM17" s="49">
        <f t="shared" si="58"/>
        <v>0</v>
      </c>
      <c r="BN17" s="49">
        <f t="shared" si="59"/>
        <v>0</v>
      </c>
      <c r="BO17" s="49">
        <f t="shared" si="60"/>
        <v>0</v>
      </c>
      <c r="BP17" s="49">
        <f t="shared" si="61"/>
        <v>0</v>
      </c>
      <c r="BQ17" s="49">
        <f t="shared" si="62"/>
        <v>0</v>
      </c>
      <c r="BR17" s="49">
        <f t="shared" si="63"/>
        <v>0</v>
      </c>
      <c r="BS17" s="49">
        <f t="shared" si="64"/>
        <v>0</v>
      </c>
      <c r="BT17" s="49">
        <f t="shared" si="65"/>
        <v>0</v>
      </c>
      <c r="BU17" s="49">
        <f t="shared" si="66"/>
        <v>0</v>
      </c>
      <c r="BV17" s="49">
        <f t="shared" si="67"/>
        <v>0</v>
      </c>
      <c r="BW17" s="49">
        <f t="shared" si="68"/>
        <v>0</v>
      </c>
      <c r="BX17" s="49">
        <f t="shared" si="69"/>
        <v>0</v>
      </c>
      <c r="BY17" s="49">
        <f t="shared" si="70"/>
        <v>0</v>
      </c>
      <c r="BZ17" s="49">
        <f t="shared" si="71"/>
        <v>0</v>
      </c>
      <c r="CA17" s="49">
        <f t="shared" si="72"/>
        <v>0</v>
      </c>
      <c r="CB17" s="49">
        <f t="shared" si="73"/>
        <v>0</v>
      </c>
      <c r="CC17" s="49">
        <f t="shared" si="74"/>
        <v>0</v>
      </c>
      <c r="CD17" s="49">
        <f t="shared" si="75"/>
        <v>0</v>
      </c>
      <c r="CE17" s="49">
        <f t="shared" si="76"/>
        <v>0</v>
      </c>
      <c r="CF17" s="49">
        <f t="shared" si="77"/>
        <v>0</v>
      </c>
      <c r="CG17" s="49">
        <f t="shared" si="78"/>
        <v>0</v>
      </c>
      <c r="CH17" s="49">
        <f t="shared" si="79"/>
        <v>0</v>
      </c>
      <c r="CI17" s="49">
        <f t="shared" si="80"/>
        <v>0</v>
      </c>
      <c r="CJ17" s="49">
        <f t="shared" si="81"/>
        <v>0</v>
      </c>
      <c r="CK17" s="49">
        <f t="shared" si="82"/>
        <v>0</v>
      </c>
      <c r="CL17" s="49">
        <f t="shared" si="83"/>
        <v>0</v>
      </c>
      <c r="CM17" s="49">
        <f t="shared" si="84"/>
        <v>0</v>
      </c>
      <c r="CN17" s="49">
        <f t="shared" si="85"/>
        <v>0</v>
      </c>
      <c r="CO17" s="49">
        <f t="shared" si="86"/>
        <v>0</v>
      </c>
      <c r="CP17" s="49">
        <f t="shared" si="87"/>
        <v>0</v>
      </c>
      <c r="CQ17" s="49">
        <f t="shared" si="88"/>
        <v>0</v>
      </c>
      <c r="CR17" s="49">
        <f t="shared" si="89"/>
        <v>0</v>
      </c>
      <c r="CS17" s="49">
        <f t="shared" si="90"/>
        <v>0</v>
      </c>
      <c r="CT17" s="49">
        <f t="shared" si="91"/>
        <v>0</v>
      </c>
      <c r="CU17" s="49">
        <f t="shared" si="92"/>
        <v>0</v>
      </c>
      <c r="CV17" s="49">
        <f t="shared" si="93"/>
        <v>0</v>
      </c>
      <c r="CW17" s="49">
        <f t="shared" si="94"/>
        <v>0</v>
      </c>
    </row>
    <row r="18" spans="1:101">
      <c r="A18" s="56" t="s">
        <v>130</v>
      </c>
      <c r="H18" s="5">
        <f>H17+H16</f>
        <v>12146.5</v>
      </c>
      <c r="I18" s="5">
        <f>I17+I16</f>
        <v>12146.5</v>
      </c>
      <c r="J18" s="87"/>
      <c r="L18" s="49">
        <f t="shared" si="5"/>
        <v>0</v>
      </c>
      <c r="M18" s="49">
        <f t="shared" si="6"/>
        <v>0</v>
      </c>
      <c r="N18" s="49">
        <f t="shared" si="7"/>
        <v>0</v>
      </c>
      <c r="O18" s="49">
        <f t="shared" si="8"/>
        <v>0</v>
      </c>
      <c r="P18" s="49">
        <f t="shared" si="9"/>
        <v>0</v>
      </c>
      <c r="Q18" s="49">
        <f t="shared" si="10"/>
        <v>0</v>
      </c>
      <c r="R18" s="49">
        <f t="shared" si="11"/>
        <v>0</v>
      </c>
      <c r="S18" s="49">
        <f t="shared" si="12"/>
        <v>0</v>
      </c>
      <c r="T18" s="49">
        <f t="shared" si="13"/>
        <v>0</v>
      </c>
      <c r="U18" s="49">
        <f t="shared" si="14"/>
        <v>0</v>
      </c>
      <c r="V18" s="49">
        <f t="shared" si="15"/>
        <v>0</v>
      </c>
      <c r="W18" s="49">
        <f t="shared" si="16"/>
        <v>0</v>
      </c>
      <c r="X18" s="49">
        <f t="shared" si="17"/>
        <v>0</v>
      </c>
      <c r="Y18" s="49">
        <f t="shared" si="18"/>
        <v>0</v>
      </c>
      <c r="Z18" s="49">
        <f t="shared" si="19"/>
        <v>0</v>
      </c>
      <c r="AA18" s="49">
        <f t="shared" si="20"/>
        <v>0</v>
      </c>
      <c r="AB18" s="49">
        <f t="shared" si="21"/>
        <v>0</v>
      </c>
      <c r="AC18" s="49">
        <f t="shared" si="22"/>
        <v>0</v>
      </c>
      <c r="AD18" s="49">
        <f t="shared" si="23"/>
        <v>0</v>
      </c>
      <c r="AE18" s="49">
        <f t="shared" si="24"/>
        <v>0</v>
      </c>
      <c r="AF18" s="49">
        <f t="shared" si="25"/>
        <v>0</v>
      </c>
      <c r="AG18" s="49">
        <f t="shared" si="26"/>
        <v>0</v>
      </c>
      <c r="AH18" s="49">
        <f t="shared" si="27"/>
        <v>0</v>
      </c>
      <c r="AI18" s="49">
        <f t="shared" si="28"/>
        <v>0</v>
      </c>
      <c r="AJ18" s="49">
        <f t="shared" si="29"/>
        <v>0</v>
      </c>
      <c r="AK18" s="49">
        <f t="shared" si="30"/>
        <v>0</v>
      </c>
      <c r="AL18" s="49">
        <f t="shared" si="31"/>
        <v>0</v>
      </c>
      <c r="AM18" s="49">
        <f t="shared" si="32"/>
        <v>0</v>
      </c>
      <c r="AN18" s="49">
        <f t="shared" si="33"/>
        <v>0</v>
      </c>
      <c r="AO18" s="49">
        <f t="shared" si="34"/>
        <v>0</v>
      </c>
      <c r="AP18" s="49">
        <f t="shared" si="35"/>
        <v>0</v>
      </c>
      <c r="AQ18" s="49">
        <f t="shared" si="36"/>
        <v>0</v>
      </c>
      <c r="AR18" s="49">
        <f t="shared" si="37"/>
        <v>0</v>
      </c>
      <c r="AS18" s="49">
        <f t="shared" si="38"/>
        <v>0</v>
      </c>
      <c r="AT18" s="49">
        <f t="shared" si="39"/>
        <v>0</v>
      </c>
      <c r="AU18" s="49">
        <f t="shared" si="40"/>
        <v>0</v>
      </c>
      <c r="AV18" s="49">
        <f t="shared" si="41"/>
        <v>0</v>
      </c>
      <c r="AW18" s="49">
        <f t="shared" si="42"/>
        <v>0</v>
      </c>
      <c r="AX18" s="49">
        <f t="shared" si="43"/>
        <v>0</v>
      </c>
      <c r="AY18" s="49">
        <f t="shared" si="44"/>
        <v>0</v>
      </c>
      <c r="AZ18" s="49">
        <f t="shared" si="45"/>
        <v>0</v>
      </c>
      <c r="BA18" s="49">
        <f t="shared" si="46"/>
        <v>0</v>
      </c>
      <c r="BB18" s="49">
        <f t="shared" si="47"/>
        <v>0</v>
      </c>
      <c r="BC18" s="49">
        <f t="shared" si="48"/>
        <v>0</v>
      </c>
      <c r="BD18" s="49">
        <f t="shared" si="49"/>
        <v>0</v>
      </c>
      <c r="BE18" s="49">
        <f t="shared" si="50"/>
        <v>0</v>
      </c>
      <c r="BF18" s="49">
        <f t="shared" si="51"/>
        <v>0</v>
      </c>
      <c r="BG18" s="49">
        <f t="shared" si="52"/>
        <v>0</v>
      </c>
      <c r="BH18" s="49">
        <f t="shared" si="53"/>
        <v>0</v>
      </c>
      <c r="BI18" s="49">
        <f t="shared" si="54"/>
        <v>0</v>
      </c>
      <c r="BJ18" s="49">
        <f t="shared" si="55"/>
        <v>0</v>
      </c>
      <c r="BK18" s="49">
        <f t="shared" si="56"/>
        <v>0</v>
      </c>
      <c r="BL18" s="49">
        <f t="shared" si="57"/>
        <v>0</v>
      </c>
      <c r="BM18" s="49">
        <f t="shared" si="58"/>
        <v>0</v>
      </c>
      <c r="BN18" s="49">
        <f t="shared" si="59"/>
        <v>0</v>
      </c>
      <c r="BO18" s="49">
        <f t="shared" si="60"/>
        <v>0</v>
      </c>
      <c r="BP18" s="49">
        <f t="shared" si="61"/>
        <v>0</v>
      </c>
      <c r="BQ18" s="49">
        <f t="shared" si="62"/>
        <v>0</v>
      </c>
      <c r="BR18" s="49">
        <f t="shared" si="63"/>
        <v>0</v>
      </c>
      <c r="BS18" s="49">
        <f t="shared" si="64"/>
        <v>0</v>
      </c>
      <c r="BT18" s="49">
        <f t="shared" si="65"/>
        <v>0</v>
      </c>
      <c r="BU18" s="49">
        <f t="shared" si="66"/>
        <v>0</v>
      </c>
      <c r="BV18" s="49">
        <f t="shared" si="67"/>
        <v>0</v>
      </c>
      <c r="BW18" s="49">
        <f t="shared" si="68"/>
        <v>0</v>
      </c>
      <c r="BX18" s="49">
        <f t="shared" si="69"/>
        <v>0</v>
      </c>
      <c r="BY18" s="49">
        <f t="shared" si="70"/>
        <v>0</v>
      </c>
      <c r="BZ18" s="49">
        <f t="shared" si="71"/>
        <v>0</v>
      </c>
      <c r="CA18" s="49">
        <f t="shared" si="72"/>
        <v>0</v>
      </c>
      <c r="CB18" s="49">
        <f t="shared" si="73"/>
        <v>0</v>
      </c>
      <c r="CC18" s="49">
        <f t="shared" si="74"/>
        <v>0</v>
      </c>
      <c r="CD18" s="49">
        <f t="shared" si="75"/>
        <v>0</v>
      </c>
      <c r="CE18" s="49">
        <f t="shared" si="76"/>
        <v>0</v>
      </c>
      <c r="CF18" s="49">
        <f t="shared" si="77"/>
        <v>0</v>
      </c>
      <c r="CG18" s="49">
        <f t="shared" si="78"/>
        <v>0</v>
      </c>
      <c r="CH18" s="49">
        <f t="shared" si="79"/>
        <v>0</v>
      </c>
      <c r="CI18" s="49">
        <f t="shared" si="80"/>
        <v>0</v>
      </c>
      <c r="CJ18" s="49">
        <f t="shared" si="81"/>
        <v>0</v>
      </c>
      <c r="CK18" s="49">
        <f t="shared" si="82"/>
        <v>0</v>
      </c>
      <c r="CL18" s="49">
        <f t="shared" si="83"/>
        <v>0</v>
      </c>
      <c r="CM18" s="49">
        <f t="shared" si="84"/>
        <v>0</v>
      </c>
      <c r="CN18" s="49">
        <f t="shared" si="85"/>
        <v>0</v>
      </c>
      <c r="CO18" s="49">
        <f t="shared" si="86"/>
        <v>0</v>
      </c>
      <c r="CP18" s="49">
        <f t="shared" si="87"/>
        <v>0</v>
      </c>
      <c r="CQ18" s="49">
        <f t="shared" si="88"/>
        <v>0</v>
      </c>
      <c r="CR18" s="49">
        <f t="shared" si="89"/>
        <v>0</v>
      </c>
      <c r="CS18" s="49">
        <f t="shared" si="90"/>
        <v>0</v>
      </c>
      <c r="CT18" s="49">
        <f t="shared" si="91"/>
        <v>0</v>
      </c>
      <c r="CU18" s="49">
        <f t="shared" si="92"/>
        <v>0</v>
      </c>
      <c r="CV18" s="49">
        <f t="shared" si="93"/>
        <v>0</v>
      </c>
      <c r="CW18" s="49">
        <f t="shared" si="94"/>
        <v>0</v>
      </c>
    </row>
    <row r="19" spans="1:101">
      <c r="A19" s="56" t="s">
        <v>79</v>
      </c>
      <c r="J19" s="66"/>
      <c r="L19" s="49">
        <f t="shared" si="5"/>
        <v>0</v>
      </c>
      <c r="M19" s="49">
        <f t="shared" si="6"/>
        <v>0</v>
      </c>
      <c r="N19" s="49">
        <f t="shared" si="7"/>
        <v>0</v>
      </c>
      <c r="O19" s="49">
        <f t="shared" si="8"/>
        <v>0</v>
      </c>
      <c r="P19" s="49">
        <f t="shared" si="9"/>
        <v>0</v>
      </c>
      <c r="Q19" s="49">
        <f t="shared" si="10"/>
        <v>0</v>
      </c>
      <c r="R19" s="49">
        <f t="shared" si="11"/>
        <v>0</v>
      </c>
      <c r="S19" s="49">
        <f t="shared" si="12"/>
        <v>0</v>
      </c>
      <c r="T19" s="49">
        <f t="shared" si="13"/>
        <v>0</v>
      </c>
      <c r="U19" s="49">
        <f t="shared" si="14"/>
        <v>0</v>
      </c>
      <c r="V19" s="49">
        <f t="shared" si="15"/>
        <v>0</v>
      </c>
      <c r="W19" s="49">
        <f t="shared" si="16"/>
        <v>0</v>
      </c>
      <c r="X19" s="49">
        <f t="shared" si="17"/>
        <v>0</v>
      </c>
      <c r="Y19" s="49">
        <f t="shared" si="18"/>
        <v>0</v>
      </c>
      <c r="Z19" s="49">
        <f t="shared" si="19"/>
        <v>0</v>
      </c>
      <c r="AA19" s="49">
        <f t="shared" si="20"/>
        <v>0</v>
      </c>
      <c r="AB19" s="49">
        <f t="shared" si="21"/>
        <v>0</v>
      </c>
      <c r="AC19" s="49">
        <f t="shared" si="22"/>
        <v>0</v>
      </c>
      <c r="AD19" s="49">
        <f t="shared" si="23"/>
        <v>0</v>
      </c>
      <c r="AE19" s="49">
        <f t="shared" si="24"/>
        <v>0</v>
      </c>
      <c r="AF19" s="49">
        <f t="shared" si="25"/>
        <v>0</v>
      </c>
      <c r="AG19" s="49">
        <f t="shared" si="26"/>
        <v>0</v>
      </c>
      <c r="AH19" s="49">
        <f t="shared" si="27"/>
        <v>0</v>
      </c>
      <c r="AI19" s="49">
        <f t="shared" si="28"/>
        <v>0</v>
      </c>
      <c r="AJ19" s="49">
        <f t="shared" si="29"/>
        <v>0</v>
      </c>
      <c r="AK19" s="49">
        <f t="shared" si="30"/>
        <v>0</v>
      </c>
      <c r="AL19" s="49">
        <f t="shared" si="31"/>
        <v>0</v>
      </c>
      <c r="AM19" s="49">
        <f t="shared" si="32"/>
        <v>0</v>
      </c>
      <c r="AN19" s="49">
        <f t="shared" si="33"/>
        <v>0</v>
      </c>
      <c r="AO19" s="49">
        <f t="shared" si="34"/>
        <v>0</v>
      </c>
      <c r="AP19" s="49">
        <f t="shared" si="35"/>
        <v>0</v>
      </c>
      <c r="AQ19" s="49">
        <f t="shared" si="36"/>
        <v>0</v>
      </c>
      <c r="AR19" s="49">
        <f t="shared" si="37"/>
        <v>0</v>
      </c>
      <c r="AS19" s="49">
        <f t="shared" si="38"/>
        <v>0</v>
      </c>
      <c r="AT19" s="49">
        <f t="shared" si="39"/>
        <v>0</v>
      </c>
      <c r="AU19" s="49">
        <f t="shared" si="40"/>
        <v>0</v>
      </c>
      <c r="AV19" s="49">
        <f t="shared" si="41"/>
        <v>0</v>
      </c>
      <c r="AW19" s="49">
        <f t="shared" si="42"/>
        <v>0</v>
      </c>
      <c r="AX19" s="49">
        <f t="shared" si="43"/>
        <v>0</v>
      </c>
      <c r="AY19" s="49">
        <f t="shared" si="44"/>
        <v>0</v>
      </c>
      <c r="AZ19" s="49">
        <f t="shared" si="45"/>
        <v>0</v>
      </c>
      <c r="BA19" s="49">
        <f t="shared" si="46"/>
        <v>0</v>
      </c>
      <c r="BB19" s="49">
        <f t="shared" si="47"/>
        <v>0</v>
      </c>
      <c r="BC19" s="49">
        <f t="shared" si="48"/>
        <v>0</v>
      </c>
      <c r="BD19" s="49">
        <f t="shared" si="49"/>
        <v>0</v>
      </c>
      <c r="BE19" s="49">
        <f t="shared" si="50"/>
        <v>0</v>
      </c>
      <c r="BF19" s="49">
        <f t="shared" si="51"/>
        <v>0</v>
      </c>
      <c r="BG19" s="49">
        <f t="shared" si="52"/>
        <v>0</v>
      </c>
      <c r="BH19" s="49">
        <f t="shared" si="53"/>
        <v>0</v>
      </c>
      <c r="BI19" s="49">
        <f t="shared" si="54"/>
        <v>0</v>
      </c>
      <c r="BJ19" s="49">
        <f t="shared" si="55"/>
        <v>0</v>
      </c>
      <c r="BK19" s="49">
        <f t="shared" si="56"/>
        <v>0</v>
      </c>
      <c r="BL19" s="49">
        <f t="shared" si="57"/>
        <v>0</v>
      </c>
      <c r="BM19" s="49">
        <f t="shared" si="58"/>
        <v>0</v>
      </c>
      <c r="BN19" s="49">
        <f t="shared" si="59"/>
        <v>0</v>
      </c>
      <c r="BO19" s="49">
        <f t="shared" si="60"/>
        <v>0</v>
      </c>
      <c r="BP19" s="49">
        <f t="shared" si="61"/>
        <v>0</v>
      </c>
      <c r="BQ19" s="49">
        <f t="shared" si="62"/>
        <v>0</v>
      </c>
      <c r="BR19" s="49">
        <f t="shared" si="63"/>
        <v>0</v>
      </c>
      <c r="BS19" s="49">
        <f t="shared" si="64"/>
        <v>0</v>
      </c>
      <c r="BT19" s="49">
        <f t="shared" si="65"/>
        <v>0</v>
      </c>
      <c r="BU19" s="49">
        <f t="shared" si="66"/>
        <v>0</v>
      </c>
      <c r="BV19" s="49">
        <f t="shared" si="67"/>
        <v>0</v>
      </c>
      <c r="BW19" s="49">
        <f t="shared" si="68"/>
        <v>0</v>
      </c>
      <c r="BX19" s="49">
        <f t="shared" si="69"/>
        <v>0</v>
      </c>
      <c r="BY19" s="49">
        <f t="shared" si="70"/>
        <v>0</v>
      </c>
      <c r="BZ19" s="49">
        <f t="shared" si="71"/>
        <v>0</v>
      </c>
      <c r="CA19" s="49">
        <f t="shared" si="72"/>
        <v>0</v>
      </c>
      <c r="CB19" s="49">
        <f t="shared" si="73"/>
        <v>0</v>
      </c>
      <c r="CC19" s="49">
        <f t="shared" si="74"/>
        <v>0</v>
      </c>
      <c r="CD19" s="49">
        <f t="shared" si="75"/>
        <v>0</v>
      </c>
      <c r="CE19" s="49">
        <f t="shared" si="76"/>
        <v>0</v>
      </c>
      <c r="CF19" s="49">
        <f t="shared" si="77"/>
        <v>0</v>
      </c>
      <c r="CG19" s="49">
        <f t="shared" si="78"/>
        <v>0</v>
      </c>
      <c r="CH19" s="49">
        <f t="shared" si="79"/>
        <v>0</v>
      </c>
      <c r="CI19" s="49">
        <f t="shared" si="80"/>
        <v>0</v>
      </c>
      <c r="CJ19" s="49">
        <f t="shared" si="81"/>
        <v>0</v>
      </c>
      <c r="CK19" s="49">
        <f t="shared" si="82"/>
        <v>0</v>
      </c>
      <c r="CL19" s="49">
        <f t="shared" si="83"/>
        <v>0</v>
      </c>
      <c r="CM19" s="49">
        <f t="shared" si="84"/>
        <v>0</v>
      </c>
      <c r="CN19" s="49">
        <f t="shared" si="85"/>
        <v>0</v>
      </c>
      <c r="CO19" s="49">
        <f t="shared" si="86"/>
        <v>0</v>
      </c>
      <c r="CP19" s="49">
        <f t="shared" si="87"/>
        <v>0</v>
      </c>
      <c r="CQ19" s="49">
        <f t="shared" si="88"/>
        <v>0</v>
      </c>
      <c r="CR19" s="49">
        <f t="shared" si="89"/>
        <v>0</v>
      </c>
      <c r="CS19" s="49">
        <f t="shared" si="90"/>
        <v>0</v>
      </c>
      <c r="CT19" s="49">
        <f t="shared" si="91"/>
        <v>0</v>
      </c>
      <c r="CU19" s="49">
        <f t="shared" si="92"/>
        <v>0</v>
      </c>
      <c r="CV19" s="49">
        <f t="shared" si="93"/>
        <v>0</v>
      </c>
      <c r="CW19" s="49">
        <f t="shared" si="94"/>
        <v>0</v>
      </c>
    </row>
    <row r="20" spans="1:101">
      <c r="B20" s="52" t="s">
        <v>146</v>
      </c>
      <c r="C20" s="52" t="s">
        <v>58</v>
      </c>
      <c r="D20" s="52">
        <v>4</v>
      </c>
      <c r="E20" s="52" t="s">
        <v>52</v>
      </c>
      <c r="F20" s="52" t="s">
        <v>147</v>
      </c>
      <c r="G20" s="75">
        <v>-7</v>
      </c>
      <c r="H20" s="4">
        <v>2285.25</v>
      </c>
      <c r="I20" s="4">
        <v>2285.25</v>
      </c>
      <c r="J20" s="87">
        <v>42629</v>
      </c>
      <c r="L20" s="49">
        <f t="shared" si="5"/>
        <v>0</v>
      </c>
      <c r="M20" s="49">
        <f t="shared" si="6"/>
        <v>0</v>
      </c>
      <c r="N20" s="49">
        <f t="shared" si="7"/>
        <v>0</v>
      </c>
      <c r="O20" s="49">
        <f t="shared" si="8"/>
        <v>0</v>
      </c>
      <c r="P20" s="49">
        <f t="shared" si="9"/>
        <v>0</v>
      </c>
      <c r="Q20" s="49">
        <f t="shared" si="10"/>
        <v>0</v>
      </c>
      <c r="R20" s="49">
        <f t="shared" si="11"/>
        <v>-2285.25</v>
      </c>
      <c r="S20" s="49">
        <f t="shared" si="12"/>
        <v>0</v>
      </c>
      <c r="T20" s="49">
        <f t="shared" si="13"/>
        <v>0</v>
      </c>
      <c r="U20" s="49">
        <f t="shared" si="14"/>
        <v>0</v>
      </c>
      <c r="V20" s="49">
        <f t="shared" si="15"/>
        <v>0</v>
      </c>
      <c r="W20" s="49">
        <f t="shared" si="16"/>
        <v>0</v>
      </c>
      <c r="X20" s="49">
        <f t="shared" si="17"/>
        <v>0</v>
      </c>
      <c r="Y20" s="49">
        <f t="shared" si="18"/>
        <v>0</v>
      </c>
      <c r="Z20" s="49">
        <f t="shared" si="19"/>
        <v>0</v>
      </c>
      <c r="AA20" s="49">
        <f t="shared" si="20"/>
        <v>0</v>
      </c>
      <c r="AB20" s="49">
        <f t="shared" si="21"/>
        <v>0</v>
      </c>
      <c r="AC20" s="49">
        <f t="shared" si="22"/>
        <v>0</v>
      </c>
      <c r="AD20" s="49">
        <f t="shared" si="23"/>
        <v>0</v>
      </c>
      <c r="AE20" s="49">
        <f t="shared" si="24"/>
        <v>0</v>
      </c>
      <c r="AF20" s="49">
        <f t="shared" si="25"/>
        <v>0</v>
      </c>
      <c r="AG20" s="49">
        <f t="shared" si="26"/>
        <v>0</v>
      </c>
      <c r="AH20" s="49">
        <f t="shared" si="27"/>
        <v>0</v>
      </c>
      <c r="AI20" s="49">
        <f t="shared" si="28"/>
        <v>0</v>
      </c>
      <c r="AJ20" s="49">
        <f t="shared" si="29"/>
        <v>0</v>
      </c>
      <c r="AK20" s="49">
        <f t="shared" si="30"/>
        <v>0</v>
      </c>
      <c r="AL20" s="49">
        <f t="shared" si="31"/>
        <v>0</v>
      </c>
      <c r="AM20" s="49">
        <f t="shared" si="32"/>
        <v>0</v>
      </c>
      <c r="AN20" s="49">
        <f t="shared" si="33"/>
        <v>0</v>
      </c>
      <c r="AO20" s="49">
        <f t="shared" si="34"/>
        <v>0</v>
      </c>
      <c r="AP20" s="49">
        <f t="shared" si="35"/>
        <v>0</v>
      </c>
      <c r="AQ20" s="49">
        <f t="shared" si="36"/>
        <v>0</v>
      </c>
      <c r="AR20" s="49">
        <f t="shared" si="37"/>
        <v>0</v>
      </c>
      <c r="AS20" s="49">
        <f t="shared" si="38"/>
        <v>0</v>
      </c>
      <c r="AT20" s="49">
        <f t="shared" si="39"/>
        <v>0</v>
      </c>
      <c r="AU20" s="49">
        <f t="shared" si="40"/>
        <v>0</v>
      </c>
      <c r="AV20" s="49">
        <f t="shared" si="41"/>
        <v>0</v>
      </c>
      <c r="AW20" s="49">
        <f t="shared" si="42"/>
        <v>0</v>
      </c>
      <c r="AX20" s="49">
        <f t="shared" si="43"/>
        <v>0</v>
      </c>
      <c r="AY20" s="49">
        <f t="shared" si="44"/>
        <v>0</v>
      </c>
      <c r="AZ20" s="49">
        <f t="shared" si="45"/>
        <v>0</v>
      </c>
      <c r="BA20" s="49">
        <f t="shared" si="46"/>
        <v>0</v>
      </c>
      <c r="BB20" s="49">
        <f t="shared" si="47"/>
        <v>0</v>
      </c>
      <c r="BC20" s="49">
        <f t="shared" si="48"/>
        <v>0</v>
      </c>
      <c r="BD20" s="49">
        <f t="shared" si="49"/>
        <v>0</v>
      </c>
      <c r="BE20" s="49">
        <f t="shared" si="50"/>
        <v>0</v>
      </c>
      <c r="BF20" s="49">
        <f t="shared" si="51"/>
        <v>0</v>
      </c>
      <c r="BG20" s="49">
        <f t="shared" si="52"/>
        <v>0</v>
      </c>
      <c r="BH20" s="49">
        <f t="shared" si="53"/>
        <v>0</v>
      </c>
      <c r="BI20" s="49">
        <f t="shared" si="54"/>
        <v>0</v>
      </c>
      <c r="BJ20" s="49">
        <f t="shared" si="55"/>
        <v>0</v>
      </c>
      <c r="BK20" s="49">
        <f t="shared" si="56"/>
        <v>0</v>
      </c>
      <c r="BL20" s="49">
        <f t="shared" si="57"/>
        <v>0</v>
      </c>
      <c r="BM20" s="49">
        <f t="shared" si="58"/>
        <v>0</v>
      </c>
      <c r="BN20" s="49">
        <f t="shared" si="59"/>
        <v>0</v>
      </c>
      <c r="BO20" s="49">
        <f t="shared" si="60"/>
        <v>0</v>
      </c>
      <c r="BP20" s="49">
        <f t="shared" si="61"/>
        <v>0</v>
      </c>
      <c r="BQ20" s="49">
        <f t="shared" si="62"/>
        <v>0</v>
      </c>
      <c r="BR20" s="49">
        <f t="shared" si="63"/>
        <v>0</v>
      </c>
      <c r="BS20" s="49">
        <f t="shared" si="64"/>
        <v>0</v>
      </c>
      <c r="BT20" s="49">
        <f t="shared" si="65"/>
        <v>0</v>
      </c>
      <c r="BU20" s="49">
        <f t="shared" si="66"/>
        <v>0</v>
      </c>
      <c r="BV20" s="49">
        <f t="shared" si="67"/>
        <v>0</v>
      </c>
      <c r="BW20" s="49">
        <f t="shared" si="68"/>
        <v>0</v>
      </c>
      <c r="BX20" s="49">
        <f t="shared" si="69"/>
        <v>0</v>
      </c>
      <c r="BY20" s="49">
        <f t="shared" si="70"/>
        <v>0</v>
      </c>
      <c r="BZ20" s="49">
        <f t="shared" si="71"/>
        <v>0</v>
      </c>
      <c r="CA20" s="49">
        <f t="shared" si="72"/>
        <v>0</v>
      </c>
      <c r="CB20" s="49">
        <f t="shared" si="73"/>
        <v>0</v>
      </c>
      <c r="CC20" s="49">
        <f t="shared" si="74"/>
        <v>0</v>
      </c>
      <c r="CD20" s="49">
        <f t="shared" si="75"/>
        <v>0</v>
      </c>
      <c r="CE20" s="49">
        <f t="shared" si="76"/>
        <v>0</v>
      </c>
      <c r="CF20" s="49">
        <f t="shared" si="77"/>
        <v>0</v>
      </c>
      <c r="CG20" s="49">
        <f t="shared" si="78"/>
        <v>0</v>
      </c>
      <c r="CH20" s="49">
        <f t="shared" si="79"/>
        <v>0</v>
      </c>
      <c r="CI20" s="49">
        <f t="shared" si="80"/>
        <v>0</v>
      </c>
      <c r="CJ20" s="49">
        <f t="shared" si="81"/>
        <v>0</v>
      </c>
      <c r="CK20" s="49">
        <f t="shared" si="82"/>
        <v>0</v>
      </c>
      <c r="CL20" s="49">
        <f t="shared" si="83"/>
        <v>0</v>
      </c>
      <c r="CM20" s="49">
        <f t="shared" si="84"/>
        <v>0</v>
      </c>
      <c r="CN20" s="49">
        <f t="shared" si="85"/>
        <v>0</v>
      </c>
      <c r="CO20" s="49">
        <f t="shared" si="86"/>
        <v>0</v>
      </c>
      <c r="CP20" s="49">
        <f t="shared" si="87"/>
        <v>0</v>
      </c>
      <c r="CQ20" s="49">
        <f t="shared" si="88"/>
        <v>0</v>
      </c>
      <c r="CR20" s="49">
        <f t="shared" si="89"/>
        <v>0</v>
      </c>
      <c r="CS20" s="49">
        <f t="shared" si="90"/>
        <v>0</v>
      </c>
      <c r="CT20" s="49">
        <f t="shared" si="91"/>
        <v>0</v>
      </c>
      <c r="CU20" s="49">
        <f t="shared" si="92"/>
        <v>0</v>
      </c>
      <c r="CV20" s="49">
        <f t="shared" si="93"/>
        <v>0</v>
      </c>
      <c r="CW20" s="49">
        <f t="shared" si="94"/>
        <v>0</v>
      </c>
    </row>
    <row r="21" spans="1:101">
      <c r="B21" s="52" t="s">
        <v>148</v>
      </c>
      <c r="C21" s="52" t="s">
        <v>58</v>
      </c>
      <c r="D21" s="52">
        <v>140705</v>
      </c>
      <c r="E21" s="52" t="s">
        <v>52</v>
      </c>
      <c r="F21" s="52" t="s">
        <v>149</v>
      </c>
      <c r="G21" s="75">
        <v>-21</v>
      </c>
      <c r="H21" s="4">
        <v>2562.3000000000002</v>
      </c>
      <c r="I21" s="4">
        <v>2562.3000000000002</v>
      </c>
      <c r="J21" s="87">
        <v>42675</v>
      </c>
      <c r="L21" s="49">
        <f t="shared" si="5"/>
        <v>0</v>
      </c>
      <c r="M21" s="49">
        <f t="shared" si="6"/>
        <v>0</v>
      </c>
      <c r="N21" s="49">
        <f t="shared" si="7"/>
        <v>0</v>
      </c>
      <c r="O21" s="49">
        <f t="shared" si="8"/>
        <v>0</v>
      </c>
      <c r="P21" s="49">
        <f t="shared" si="9"/>
        <v>0</v>
      </c>
      <c r="Q21" s="49">
        <f t="shared" si="10"/>
        <v>0</v>
      </c>
      <c r="R21" s="49">
        <f t="shared" si="11"/>
        <v>0</v>
      </c>
      <c r="S21" s="49">
        <f t="shared" si="12"/>
        <v>0</v>
      </c>
      <c r="T21" s="49">
        <f t="shared" si="13"/>
        <v>0</v>
      </c>
      <c r="U21" s="49">
        <f t="shared" si="14"/>
        <v>0</v>
      </c>
      <c r="V21" s="49">
        <f t="shared" si="15"/>
        <v>0</v>
      </c>
      <c r="W21" s="49">
        <f t="shared" si="16"/>
        <v>0</v>
      </c>
      <c r="X21" s="49">
        <f t="shared" si="17"/>
        <v>-2562.3000000000002</v>
      </c>
      <c r="Y21" s="49">
        <f t="shared" si="18"/>
        <v>0</v>
      </c>
      <c r="Z21" s="49">
        <f t="shared" si="19"/>
        <v>0</v>
      </c>
      <c r="AA21" s="49">
        <f t="shared" si="20"/>
        <v>0</v>
      </c>
      <c r="AB21" s="49">
        <f t="shared" si="21"/>
        <v>0</v>
      </c>
      <c r="AC21" s="49">
        <f t="shared" si="22"/>
        <v>0</v>
      </c>
      <c r="AD21" s="49">
        <f t="shared" si="23"/>
        <v>0</v>
      </c>
      <c r="AE21" s="49">
        <f t="shared" si="24"/>
        <v>0</v>
      </c>
      <c r="AF21" s="49">
        <f t="shared" si="25"/>
        <v>0</v>
      </c>
      <c r="AG21" s="49">
        <f t="shared" si="26"/>
        <v>0</v>
      </c>
      <c r="AH21" s="49">
        <f t="shared" si="27"/>
        <v>0</v>
      </c>
      <c r="AI21" s="49">
        <f t="shared" si="28"/>
        <v>0</v>
      </c>
      <c r="AJ21" s="49">
        <f t="shared" si="29"/>
        <v>0</v>
      </c>
      <c r="AK21" s="49">
        <f t="shared" si="30"/>
        <v>0</v>
      </c>
      <c r="AL21" s="49">
        <f t="shared" si="31"/>
        <v>0</v>
      </c>
      <c r="AM21" s="49">
        <f t="shared" si="32"/>
        <v>0</v>
      </c>
      <c r="AN21" s="49">
        <f t="shared" si="33"/>
        <v>0</v>
      </c>
      <c r="AO21" s="49">
        <f t="shared" si="34"/>
        <v>0</v>
      </c>
      <c r="AP21" s="49">
        <f t="shared" si="35"/>
        <v>0</v>
      </c>
      <c r="AQ21" s="49">
        <f t="shared" si="36"/>
        <v>0</v>
      </c>
      <c r="AR21" s="49">
        <f t="shared" si="37"/>
        <v>0</v>
      </c>
      <c r="AS21" s="49">
        <f t="shared" si="38"/>
        <v>0</v>
      </c>
      <c r="AT21" s="49">
        <f t="shared" si="39"/>
        <v>0</v>
      </c>
      <c r="AU21" s="49">
        <f t="shared" si="40"/>
        <v>0</v>
      </c>
      <c r="AV21" s="49">
        <f t="shared" si="41"/>
        <v>0</v>
      </c>
      <c r="AW21" s="49">
        <f t="shared" si="42"/>
        <v>0</v>
      </c>
      <c r="AX21" s="49">
        <f t="shared" si="43"/>
        <v>0</v>
      </c>
      <c r="AY21" s="49">
        <f t="shared" si="44"/>
        <v>0</v>
      </c>
      <c r="AZ21" s="49">
        <f t="shared" si="45"/>
        <v>0</v>
      </c>
      <c r="BA21" s="49">
        <f t="shared" si="46"/>
        <v>0</v>
      </c>
      <c r="BB21" s="49">
        <f t="shared" si="47"/>
        <v>0</v>
      </c>
      <c r="BC21" s="49">
        <f t="shared" si="48"/>
        <v>0</v>
      </c>
      <c r="BD21" s="49">
        <f t="shared" si="49"/>
        <v>0</v>
      </c>
      <c r="BE21" s="49">
        <f t="shared" si="50"/>
        <v>0</v>
      </c>
      <c r="BF21" s="49">
        <f t="shared" si="51"/>
        <v>0</v>
      </c>
      <c r="BG21" s="49">
        <f t="shared" si="52"/>
        <v>0</v>
      </c>
      <c r="BH21" s="49">
        <f t="shared" si="53"/>
        <v>0</v>
      </c>
      <c r="BI21" s="49">
        <f t="shared" si="54"/>
        <v>0</v>
      </c>
      <c r="BJ21" s="49">
        <f t="shared" si="55"/>
        <v>0</v>
      </c>
      <c r="BK21" s="49">
        <f t="shared" si="56"/>
        <v>0</v>
      </c>
      <c r="BL21" s="49">
        <f t="shared" si="57"/>
        <v>0</v>
      </c>
      <c r="BM21" s="49">
        <f t="shared" si="58"/>
        <v>0</v>
      </c>
      <c r="BN21" s="49">
        <f t="shared" si="59"/>
        <v>0</v>
      </c>
      <c r="BO21" s="49">
        <f t="shared" si="60"/>
        <v>0</v>
      </c>
      <c r="BP21" s="49">
        <f t="shared" si="61"/>
        <v>0</v>
      </c>
      <c r="BQ21" s="49">
        <f t="shared" si="62"/>
        <v>0</v>
      </c>
      <c r="BR21" s="49">
        <f t="shared" si="63"/>
        <v>0</v>
      </c>
      <c r="BS21" s="49">
        <f t="shared" si="64"/>
        <v>0</v>
      </c>
      <c r="BT21" s="49">
        <f t="shared" si="65"/>
        <v>0</v>
      </c>
      <c r="BU21" s="49">
        <f t="shared" si="66"/>
        <v>0</v>
      </c>
      <c r="BV21" s="49">
        <f t="shared" si="67"/>
        <v>0</v>
      </c>
      <c r="BW21" s="49">
        <f t="shared" si="68"/>
        <v>0</v>
      </c>
      <c r="BX21" s="49">
        <f t="shared" si="69"/>
        <v>0</v>
      </c>
      <c r="BY21" s="49">
        <f t="shared" si="70"/>
        <v>0</v>
      </c>
      <c r="BZ21" s="49">
        <f t="shared" si="71"/>
        <v>0</v>
      </c>
      <c r="CA21" s="49">
        <f t="shared" si="72"/>
        <v>0</v>
      </c>
      <c r="CB21" s="49">
        <f t="shared" si="73"/>
        <v>0</v>
      </c>
      <c r="CC21" s="49">
        <f t="shared" si="74"/>
        <v>0</v>
      </c>
      <c r="CD21" s="49">
        <f t="shared" si="75"/>
        <v>0</v>
      </c>
      <c r="CE21" s="49">
        <f t="shared" si="76"/>
        <v>0</v>
      </c>
      <c r="CF21" s="49">
        <f t="shared" si="77"/>
        <v>0</v>
      </c>
      <c r="CG21" s="49">
        <f t="shared" si="78"/>
        <v>0</v>
      </c>
      <c r="CH21" s="49">
        <f t="shared" si="79"/>
        <v>0</v>
      </c>
      <c r="CI21" s="49">
        <f t="shared" si="80"/>
        <v>0</v>
      </c>
      <c r="CJ21" s="49">
        <f t="shared" si="81"/>
        <v>0</v>
      </c>
      <c r="CK21" s="49">
        <f t="shared" si="82"/>
        <v>0</v>
      </c>
      <c r="CL21" s="49">
        <f t="shared" si="83"/>
        <v>0</v>
      </c>
      <c r="CM21" s="49">
        <f t="shared" si="84"/>
        <v>0</v>
      </c>
      <c r="CN21" s="49">
        <f t="shared" si="85"/>
        <v>0</v>
      </c>
      <c r="CO21" s="49">
        <f t="shared" si="86"/>
        <v>0</v>
      </c>
      <c r="CP21" s="49">
        <f t="shared" si="87"/>
        <v>0</v>
      </c>
      <c r="CQ21" s="49">
        <f t="shared" si="88"/>
        <v>0</v>
      </c>
      <c r="CR21" s="49">
        <f t="shared" si="89"/>
        <v>0</v>
      </c>
      <c r="CS21" s="49">
        <f t="shared" si="90"/>
        <v>0</v>
      </c>
      <c r="CT21" s="49">
        <f t="shared" si="91"/>
        <v>0</v>
      </c>
      <c r="CU21" s="49">
        <f t="shared" si="92"/>
        <v>0</v>
      </c>
      <c r="CV21" s="49">
        <f t="shared" si="93"/>
        <v>0</v>
      </c>
      <c r="CW21" s="49">
        <f t="shared" si="94"/>
        <v>0</v>
      </c>
    </row>
    <row r="22" spans="1:101">
      <c r="A22" s="56" t="s">
        <v>80</v>
      </c>
      <c r="H22" s="5">
        <f>SUM(H20:H21)</f>
        <v>4847.55</v>
      </c>
      <c r="I22" s="5">
        <f>SUM(I20:I21)</f>
        <v>4847.55</v>
      </c>
      <c r="J22" s="66"/>
      <c r="L22" s="49">
        <f t="shared" si="5"/>
        <v>0</v>
      </c>
      <c r="M22" s="49">
        <f t="shared" si="6"/>
        <v>0</v>
      </c>
      <c r="N22" s="49">
        <f t="shared" si="7"/>
        <v>0</v>
      </c>
      <c r="O22" s="49">
        <f t="shared" si="8"/>
        <v>0</v>
      </c>
      <c r="P22" s="49">
        <f t="shared" si="9"/>
        <v>0</v>
      </c>
      <c r="Q22" s="49">
        <f t="shared" si="10"/>
        <v>0</v>
      </c>
      <c r="R22" s="49">
        <f t="shared" si="11"/>
        <v>0</v>
      </c>
      <c r="S22" s="49">
        <f t="shared" si="12"/>
        <v>0</v>
      </c>
      <c r="T22" s="49">
        <f t="shared" si="13"/>
        <v>0</v>
      </c>
      <c r="U22" s="49">
        <f t="shared" si="14"/>
        <v>0</v>
      </c>
      <c r="V22" s="49">
        <f t="shared" si="15"/>
        <v>0</v>
      </c>
      <c r="W22" s="49">
        <f t="shared" si="16"/>
        <v>0</v>
      </c>
      <c r="X22" s="49">
        <f t="shared" si="17"/>
        <v>0</v>
      </c>
      <c r="Y22" s="49">
        <f t="shared" si="18"/>
        <v>0</v>
      </c>
      <c r="Z22" s="49">
        <f t="shared" si="19"/>
        <v>0</v>
      </c>
      <c r="AA22" s="49">
        <f t="shared" si="20"/>
        <v>0</v>
      </c>
      <c r="AB22" s="49">
        <f t="shared" si="21"/>
        <v>0</v>
      </c>
      <c r="AC22" s="49">
        <f t="shared" si="22"/>
        <v>0</v>
      </c>
      <c r="AD22" s="49">
        <f t="shared" si="23"/>
        <v>0</v>
      </c>
      <c r="AE22" s="49">
        <f t="shared" si="24"/>
        <v>0</v>
      </c>
      <c r="AF22" s="49">
        <f t="shared" si="25"/>
        <v>0</v>
      </c>
      <c r="AG22" s="49">
        <f t="shared" si="26"/>
        <v>0</v>
      </c>
      <c r="AH22" s="49">
        <f t="shared" si="27"/>
        <v>0</v>
      </c>
      <c r="AI22" s="49">
        <f t="shared" si="28"/>
        <v>0</v>
      </c>
      <c r="AJ22" s="49">
        <f t="shared" si="29"/>
        <v>0</v>
      </c>
      <c r="AK22" s="49">
        <f t="shared" si="30"/>
        <v>0</v>
      </c>
      <c r="AL22" s="49">
        <f t="shared" si="31"/>
        <v>0</v>
      </c>
      <c r="AM22" s="49">
        <f t="shared" si="32"/>
        <v>0</v>
      </c>
      <c r="AN22" s="49">
        <f t="shared" si="33"/>
        <v>0</v>
      </c>
      <c r="AO22" s="49">
        <f t="shared" si="34"/>
        <v>0</v>
      </c>
      <c r="AP22" s="49">
        <f t="shared" si="35"/>
        <v>0</v>
      </c>
      <c r="AQ22" s="49">
        <f t="shared" si="36"/>
        <v>0</v>
      </c>
      <c r="AR22" s="49">
        <f t="shared" si="37"/>
        <v>0</v>
      </c>
      <c r="AS22" s="49">
        <f t="shared" si="38"/>
        <v>0</v>
      </c>
      <c r="AT22" s="49">
        <f t="shared" si="39"/>
        <v>0</v>
      </c>
      <c r="AU22" s="49">
        <f t="shared" si="40"/>
        <v>0</v>
      </c>
      <c r="AV22" s="49">
        <f t="shared" si="41"/>
        <v>0</v>
      </c>
      <c r="AW22" s="49">
        <f t="shared" si="42"/>
        <v>0</v>
      </c>
      <c r="AX22" s="49">
        <f t="shared" si="43"/>
        <v>0</v>
      </c>
      <c r="AY22" s="49">
        <f t="shared" si="44"/>
        <v>0</v>
      </c>
      <c r="AZ22" s="49">
        <f t="shared" si="45"/>
        <v>0</v>
      </c>
      <c r="BA22" s="49">
        <f t="shared" si="46"/>
        <v>0</v>
      </c>
      <c r="BB22" s="49">
        <f t="shared" si="47"/>
        <v>0</v>
      </c>
      <c r="BC22" s="49">
        <f t="shared" si="48"/>
        <v>0</v>
      </c>
      <c r="BD22" s="49">
        <f t="shared" si="49"/>
        <v>0</v>
      </c>
      <c r="BE22" s="49">
        <f t="shared" si="50"/>
        <v>0</v>
      </c>
      <c r="BF22" s="49">
        <f t="shared" si="51"/>
        <v>0</v>
      </c>
      <c r="BG22" s="49">
        <f t="shared" si="52"/>
        <v>0</v>
      </c>
      <c r="BH22" s="49">
        <f t="shared" si="53"/>
        <v>0</v>
      </c>
      <c r="BI22" s="49">
        <f t="shared" si="54"/>
        <v>0</v>
      </c>
      <c r="BJ22" s="49">
        <f t="shared" si="55"/>
        <v>0</v>
      </c>
      <c r="BK22" s="49">
        <f t="shared" si="56"/>
        <v>0</v>
      </c>
      <c r="BL22" s="49">
        <f t="shared" si="57"/>
        <v>0</v>
      </c>
      <c r="BM22" s="49">
        <f t="shared" si="58"/>
        <v>0</v>
      </c>
      <c r="BN22" s="49">
        <f t="shared" si="59"/>
        <v>0</v>
      </c>
      <c r="BO22" s="49">
        <f t="shared" si="60"/>
        <v>0</v>
      </c>
      <c r="BP22" s="49">
        <f t="shared" si="61"/>
        <v>0</v>
      </c>
      <c r="BQ22" s="49">
        <f t="shared" si="62"/>
        <v>0</v>
      </c>
      <c r="BR22" s="49">
        <f t="shared" si="63"/>
        <v>0</v>
      </c>
      <c r="BS22" s="49">
        <f t="shared" si="64"/>
        <v>0</v>
      </c>
      <c r="BT22" s="49">
        <f t="shared" si="65"/>
        <v>0</v>
      </c>
      <c r="BU22" s="49">
        <f t="shared" si="66"/>
        <v>0</v>
      </c>
      <c r="BV22" s="49">
        <f t="shared" si="67"/>
        <v>0</v>
      </c>
      <c r="BW22" s="49">
        <f t="shared" si="68"/>
        <v>0</v>
      </c>
      <c r="BX22" s="49">
        <f t="shared" si="69"/>
        <v>0</v>
      </c>
      <c r="BY22" s="49">
        <f t="shared" si="70"/>
        <v>0</v>
      </c>
      <c r="BZ22" s="49">
        <f t="shared" si="71"/>
        <v>0</v>
      </c>
      <c r="CA22" s="49">
        <f t="shared" si="72"/>
        <v>0</v>
      </c>
      <c r="CB22" s="49">
        <f t="shared" si="73"/>
        <v>0</v>
      </c>
      <c r="CC22" s="49">
        <f t="shared" si="74"/>
        <v>0</v>
      </c>
      <c r="CD22" s="49">
        <f t="shared" si="75"/>
        <v>0</v>
      </c>
      <c r="CE22" s="49">
        <f t="shared" si="76"/>
        <v>0</v>
      </c>
      <c r="CF22" s="49">
        <f t="shared" si="77"/>
        <v>0</v>
      </c>
      <c r="CG22" s="49">
        <f t="shared" si="78"/>
        <v>0</v>
      </c>
      <c r="CH22" s="49">
        <f t="shared" si="79"/>
        <v>0</v>
      </c>
      <c r="CI22" s="49">
        <f t="shared" si="80"/>
        <v>0</v>
      </c>
      <c r="CJ22" s="49">
        <f t="shared" si="81"/>
        <v>0</v>
      </c>
      <c r="CK22" s="49">
        <f t="shared" si="82"/>
        <v>0</v>
      </c>
      <c r="CL22" s="49">
        <f t="shared" si="83"/>
        <v>0</v>
      </c>
      <c r="CM22" s="49">
        <f t="shared" si="84"/>
        <v>0</v>
      </c>
      <c r="CN22" s="49">
        <f t="shared" si="85"/>
        <v>0</v>
      </c>
      <c r="CO22" s="49">
        <f t="shared" si="86"/>
        <v>0</v>
      </c>
      <c r="CP22" s="49">
        <f t="shared" si="87"/>
        <v>0</v>
      </c>
      <c r="CQ22" s="49">
        <f t="shared" si="88"/>
        <v>0</v>
      </c>
      <c r="CR22" s="49">
        <f t="shared" si="89"/>
        <v>0</v>
      </c>
      <c r="CS22" s="49">
        <f t="shared" si="90"/>
        <v>0</v>
      </c>
      <c r="CT22" s="49">
        <f t="shared" si="91"/>
        <v>0</v>
      </c>
      <c r="CU22" s="49">
        <f t="shared" si="92"/>
        <v>0</v>
      </c>
      <c r="CV22" s="49">
        <f t="shared" si="93"/>
        <v>0</v>
      </c>
      <c r="CW22" s="49">
        <f t="shared" si="94"/>
        <v>0</v>
      </c>
    </row>
    <row r="23" spans="1:101">
      <c r="A23" s="56" t="s">
        <v>128</v>
      </c>
      <c r="H23" s="5">
        <f>H22+H18+H14+H9</f>
        <v>18780.05</v>
      </c>
      <c r="I23" s="5">
        <f>I22+I18+I14+I9</f>
        <v>18780.05</v>
      </c>
      <c r="J23" s="87"/>
      <c r="L23" s="49">
        <f t="shared" si="5"/>
        <v>0</v>
      </c>
      <c r="M23" s="49">
        <f t="shared" si="6"/>
        <v>0</v>
      </c>
      <c r="N23" s="49">
        <f t="shared" si="7"/>
        <v>0</v>
      </c>
      <c r="O23" s="49">
        <f t="shared" si="8"/>
        <v>0</v>
      </c>
      <c r="P23" s="49">
        <f t="shared" si="9"/>
        <v>0</v>
      </c>
      <c r="Q23" s="49">
        <f t="shared" si="10"/>
        <v>0</v>
      </c>
      <c r="R23" s="49">
        <f t="shared" si="11"/>
        <v>0</v>
      </c>
      <c r="S23" s="49">
        <f t="shared" si="12"/>
        <v>0</v>
      </c>
      <c r="T23" s="49">
        <f t="shared" si="13"/>
        <v>0</v>
      </c>
      <c r="U23" s="49">
        <f t="shared" si="14"/>
        <v>0</v>
      </c>
      <c r="V23" s="49">
        <f t="shared" si="15"/>
        <v>0</v>
      </c>
      <c r="W23" s="49">
        <f t="shared" si="16"/>
        <v>0</v>
      </c>
      <c r="X23" s="49">
        <f t="shared" si="17"/>
        <v>0</v>
      </c>
      <c r="Y23" s="49">
        <f t="shared" si="18"/>
        <v>0</v>
      </c>
      <c r="Z23" s="49">
        <f t="shared" si="19"/>
        <v>0</v>
      </c>
      <c r="AA23" s="49">
        <f t="shared" si="20"/>
        <v>0</v>
      </c>
      <c r="AB23" s="49">
        <f t="shared" si="21"/>
        <v>0</v>
      </c>
      <c r="AC23" s="49">
        <f t="shared" si="22"/>
        <v>0</v>
      </c>
      <c r="AD23" s="49">
        <f t="shared" si="23"/>
        <v>0</v>
      </c>
      <c r="AE23" s="49">
        <f t="shared" si="24"/>
        <v>0</v>
      </c>
      <c r="AF23" s="49">
        <f t="shared" si="25"/>
        <v>0</v>
      </c>
      <c r="AG23" s="49">
        <f t="shared" si="26"/>
        <v>0</v>
      </c>
      <c r="AH23" s="49">
        <f t="shared" si="27"/>
        <v>0</v>
      </c>
      <c r="AI23" s="49">
        <f t="shared" si="28"/>
        <v>0</v>
      </c>
      <c r="AJ23" s="49">
        <f t="shared" si="29"/>
        <v>0</v>
      </c>
      <c r="AK23" s="49">
        <f t="shared" si="30"/>
        <v>0</v>
      </c>
      <c r="AL23" s="49">
        <f t="shared" si="31"/>
        <v>0</v>
      </c>
      <c r="AM23" s="49">
        <f t="shared" si="32"/>
        <v>0</v>
      </c>
      <c r="AN23" s="49">
        <f t="shared" si="33"/>
        <v>0</v>
      </c>
      <c r="AO23" s="49">
        <f t="shared" si="34"/>
        <v>0</v>
      </c>
      <c r="AP23" s="49">
        <f t="shared" si="35"/>
        <v>0</v>
      </c>
      <c r="AQ23" s="49">
        <f t="shared" si="36"/>
        <v>0</v>
      </c>
      <c r="AR23" s="49">
        <f t="shared" si="37"/>
        <v>0</v>
      </c>
      <c r="AS23" s="49">
        <f t="shared" si="38"/>
        <v>0</v>
      </c>
      <c r="AT23" s="49">
        <f t="shared" si="39"/>
        <v>0</v>
      </c>
      <c r="AU23" s="49">
        <f t="shared" si="40"/>
        <v>0</v>
      </c>
      <c r="AV23" s="49">
        <f t="shared" si="41"/>
        <v>0</v>
      </c>
      <c r="AW23" s="49">
        <f t="shared" si="42"/>
        <v>0</v>
      </c>
      <c r="AX23" s="49">
        <f t="shared" si="43"/>
        <v>0</v>
      </c>
      <c r="AY23" s="49">
        <f t="shared" si="44"/>
        <v>0</v>
      </c>
      <c r="AZ23" s="49">
        <f t="shared" si="45"/>
        <v>0</v>
      </c>
      <c r="BA23" s="49">
        <f t="shared" si="46"/>
        <v>0</v>
      </c>
      <c r="BB23" s="49">
        <f t="shared" si="47"/>
        <v>0</v>
      </c>
      <c r="BC23" s="49">
        <f t="shared" si="48"/>
        <v>0</v>
      </c>
      <c r="BD23" s="49">
        <f t="shared" si="49"/>
        <v>0</v>
      </c>
      <c r="BE23" s="49">
        <f t="shared" si="50"/>
        <v>0</v>
      </c>
      <c r="BF23" s="49">
        <f t="shared" si="51"/>
        <v>0</v>
      </c>
      <c r="BG23" s="49">
        <f t="shared" si="52"/>
        <v>0</v>
      </c>
      <c r="BH23" s="49">
        <f t="shared" si="53"/>
        <v>0</v>
      </c>
      <c r="BI23" s="49">
        <f t="shared" si="54"/>
        <v>0</v>
      </c>
      <c r="BJ23" s="49">
        <f t="shared" si="55"/>
        <v>0</v>
      </c>
      <c r="BK23" s="49">
        <f t="shared" si="56"/>
        <v>0</v>
      </c>
      <c r="BL23" s="49">
        <f t="shared" si="57"/>
        <v>0</v>
      </c>
      <c r="BM23" s="49">
        <f t="shared" si="58"/>
        <v>0</v>
      </c>
      <c r="BN23" s="49">
        <f t="shared" si="59"/>
        <v>0</v>
      </c>
      <c r="BO23" s="49">
        <f t="shared" si="60"/>
        <v>0</v>
      </c>
      <c r="BP23" s="49">
        <f t="shared" si="61"/>
        <v>0</v>
      </c>
      <c r="BQ23" s="49">
        <f t="shared" si="62"/>
        <v>0</v>
      </c>
      <c r="BR23" s="49">
        <f t="shared" si="63"/>
        <v>0</v>
      </c>
      <c r="BS23" s="49">
        <f t="shared" si="64"/>
        <v>0</v>
      </c>
      <c r="BT23" s="49">
        <f t="shared" si="65"/>
        <v>0</v>
      </c>
      <c r="BU23" s="49">
        <f t="shared" si="66"/>
        <v>0</v>
      </c>
      <c r="BV23" s="49">
        <f t="shared" si="67"/>
        <v>0</v>
      </c>
      <c r="BW23" s="49">
        <f t="shared" si="68"/>
        <v>0</v>
      </c>
      <c r="BX23" s="49">
        <f t="shared" si="69"/>
        <v>0</v>
      </c>
      <c r="BY23" s="49">
        <f t="shared" si="70"/>
        <v>0</v>
      </c>
      <c r="BZ23" s="49">
        <f t="shared" si="71"/>
        <v>0</v>
      </c>
      <c r="CA23" s="49">
        <f t="shared" si="72"/>
        <v>0</v>
      </c>
      <c r="CB23" s="49">
        <f t="shared" si="73"/>
        <v>0</v>
      </c>
      <c r="CC23" s="49">
        <f t="shared" si="74"/>
        <v>0</v>
      </c>
      <c r="CD23" s="49">
        <f t="shared" si="75"/>
        <v>0</v>
      </c>
      <c r="CE23" s="49">
        <f t="shared" si="76"/>
        <v>0</v>
      </c>
      <c r="CF23" s="49">
        <f t="shared" si="77"/>
        <v>0</v>
      </c>
      <c r="CG23" s="49">
        <f t="shared" si="78"/>
        <v>0</v>
      </c>
      <c r="CH23" s="49">
        <f t="shared" si="79"/>
        <v>0</v>
      </c>
      <c r="CI23" s="49">
        <f t="shared" si="80"/>
        <v>0</v>
      </c>
      <c r="CJ23" s="49">
        <f t="shared" si="81"/>
        <v>0</v>
      </c>
      <c r="CK23" s="49">
        <f t="shared" si="82"/>
        <v>0</v>
      </c>
      <c r="CL23" s="49">
        <f t="shared" si="83"/>
        <v>0</v>
      </c>
      <c r="CM23" s="49">
        <f t="shared" si="84"/>
        <v>0</v>
      </c>
      <c r="CN23" s="49">
        <f t="shared" si="85"/>
        <v>0</v>
      </c>
      <c r="CO23" s="49">
        <f t="shared" si="86"/>
        <v>0</v>
      </c>
      <c r="CP23" s="49">
        <f t="shared" si="87"/>
        <v>0</v>
      </c>
      <c r="CQ23" s="49">
        <f t="shared" si="88"/>
        <v>0</v>
      </c>
      <c r="CR23" s="49">
        <f t="shared" si="89"/>
        <v>0</v>
      </c>
      <c r="CS23" s="49">
        <f t="shared" si="90"/>
        <v>0</v>
      </c>
      <c r="CT23" s="49">
        <f t="shared" si="91"/>
        <v>0</v>
      </c>
      <c r="CU23" s="49">
        <f t="shared" si="92"/>
        <v>0</v>
      </c>
      <c r="CV23" s="49">
        <f t="shared" si="93"/>
        <v>0</v>
      </c>
      <c r="CW23" s="49">
        <f t="shared" si="94"/>
        <v>0</v>
      </c>
    </row>
    <row r="24" spans="1:101">
      <c r="J24" s="9"/>
      <c r="L24" s="49">
        <f t="shared" si="5"/>
        <v>0</v>
      </c>
      <c r="M24" s="49">
        <f t="shared" si="6"/>
        <v>0</v>
      </c>
      <c r="N24" s="49">
        <f t="shared" si="7"/>
        <v>0</v>
      </c>
      <c r="O24" s="49">
        <f t="shared" si="8"/>
        <v>0</v>
      </c>
      <c r="P24" s="49">
        <f t="shared" si="9"/>
        <v>0</v>
      </c>
      <c r="Q24" s="49">
        <f t="shared" si="10"/>
        <v>0</v>
      </c>
      <c r="R24" s="49">
        <f t="shared" si="11"/>
        <v>0</v>
      </c>
      <c r="S24" s="49">
        <f t="shared" si="12"/>
        <v>0</v>
      </c>
      <c r="T24" s="49">
        <f t="shared" si="13"/>
        <v>0</v>
      </c>
      <c r="U24" s="49">
        <f t="shared" si="14"/>
        <v>0</v>
      </c>
      <c r="V24" s="49">
        <f t="shared" si="15"/>
        <v>0</v>
      </c>
      <c r="W24" s="49">
        <f t="shared" si="16"/>
        <v>0</v>
      </c>
      <c r="X24" s="49">
        <f t="shared" si="17"/>
        <v>0</v>
      </c>
      <c r="Y24" s="49">
        <f t="shared" si="18"/>
        <v>0</v>
      </c>
      <c r="Z24" s="49">
        <f t="shared" si="19"/>
        <v>0</v>
      </c>
      <c r="AA24" s="49">
        <f t="shared" si="20"/>
        <v>0</v>
      </c>
      <c r="AB24" s="49">
        <f t="shared" si="21"/>
        <v>0</v>
      </c>
      <c r="AC24" s="49">
        <f t="shared" si="22"/>
        <v>0</v>
      </c>
      <c r="AD24" s="49">
        <f t="shared" si="23"/>
        <v>0</v>
      </c>
      <c r="AE24" s="49">
        <f t="shared" si="24"/>
        <v>0</v>
      </c>
      <c r="AF24" s="49">
        <f t="shared" si="25"/>
        <v>0</v>
      </c>
      <c r="AG24" s="49">
        <f t="shared" si="26"/>
        <v>0</v>
      </c>
      <c r="AH24" s="49">
        <f t="shared" si="27"/>
        <v>0</v>
      </c>
      <c r="AI24" s="49">
        <f t="shared" si="28"/>
        <v>0</v>
      </c>
      <c r="AJ24" s="49">
        <f t="shared" si="29"/>
        <v>0</v>
      </c>
      <c r="AK24" s="49">
        <f t="shared" si="30"/>
        <v>0</v>
      </c>
      <c r="AL24" s="49">
        <f t="shared" si="31"/>
        <v>0</v>
      </c>
      <c r="AM24" s="49">
        <f t="shared" si="32"/>
        <v>0</v>
      </c>
      <c r="AN24" s="49">
        <f t="shared" si="33"/>
        <v>0</v>
      </c>
      <c r="AO24" s="49">
        <f t="shared" si="34"/>
        <v>0</v>
      </c>
      <c r="AP24" s="49">
        <f t="shared" si="35"/>
        <v>0</v>
      </c>
      <c r="AQ24" s="49">
        <f t="shared" si="36"/>
        <v>0</v>
      </c>
      <c r="AR24" s="49">
        <f t="shared" si="37"/>
        <v>0</v>
      </c>
      <c r="AS24" s="49">
        <f t="shared" si="38"/>
        <v>0</v>
      </c>
      <c r="AT24" s="49">
        <f t="shared" si="39"/>
        <v>0</v>
      </c>
      <c r="AU24" s="49">
        <f t="shared" si="40"/>
        <v>0</v>
      </c>
      <c r="AV24" s="49">
        <f t="shared" si="41"/>
        <v>0</v>
      </c>
      <c r="AW24" s="49">
        <f t="shared" si="42"/>
        <v>0</v>
      </c>
      <c r="AX24" s="49">
        <f t="shared" si="43"/>
        <v>0</v>
      </c>
      <c r="AY24" s="49">
        <f t="shared" si="44"/>
        <v>0</v>
      </c>
      <c r="AZ24" s="49">
        <f t="shared" si="45"/>
        <v>0</v>
      </c>
      <c r="BA24" s="49">
        <f t="shared" si="46"/>
        <v>0</v>
      </c>
      <c r="BB24" s="49">
        <f t="shared" si="47"/>
        <v>0</v>
      </c>
      <c r="BC24" s="49">
        <f t="shared" si="48"/>
        <v>0</v>
      </c>
      <c r="BD24" s="49">
        <f t="shared" si="49"/>
        <v>0</v>
      </c>
      <c r="BE24" s="49">
        <f t="shared" si="50"/>
        <v>0</v>
      </c>
      <c r="BF24" s="49">
        <f t="shared" si="51"/>
        <v>0</v>
      </c>
      <c r="BG24" s="49">
        <f t="shared" si="52"/>
        <v>0</v>
      </c>
      <c r="BH24" s="49">
        <f t="shared" si="53"/>
        <v>0</v>
      </c>
      <c r="BI24" s="49">
        <f t="shared" si="54"/>
        <v>0</v>
      </c>
      <c r="BJ24" s="49">
        <f t="shared" si="55"/>
        <v>0</v>
      </c>
      <c r="BK24" s="49">
        <f t="shared" si="56"/>
        <v>0</v>
      </c>
      <c r="BL24" s="49">
        <f t="shared" si="57"/>
        <v>0</v>
      </c>
      <c r="BM24" s="49">
        <f t="shared" si="58"/>
        <v>0</v>
      </c>
      <c r="BN24" s="49">
        <f t="shared" si="59"/>
        <v>0</v>
      </c>
      <c r="BO24" s="49">
        <f t="shared" si="60"/>
        <v>0</v>
      </c>
      <c r="BP24" s="49">
        <f t="shared" si="61"/>
        <v>0</v>
      </c>
      <c r="BQ24" s="49">
        <f t="shared" si="62"/>
        <v>0</v>
      </c>
      <c r="BR24" s="49">
        <f t="shared" si="63"/>
        <v>0</v>
      </c>
      <c r="BS24" s="49">
        <f t="shared" si="64"/>
        <v>0</v>
      </c>
      <c r="BT24" s="49">
        <f t="shared" si="65"/>
        <v>0</v>
      </c>
      <c r="BU24" s="49">
        <f t="shared" si="66"/>
        <v>0</v>
      </c>
      <c r="BV24" s="49">
        <f t="shared" si="67"/>
        <v>0</v>
      </c>
      <c r="BW24" s="49">
        <f t="shared" si="68"/>
        <v>0</v>
      </c>
      <c r="BX24" s="49">
        <f t="shared" si="69"/>
        <v>0</v>
      </c>
      <c r="BY24" s="49">
        <f t="shared" si="70"/>
        <v>0</v>
      </c>
      <c r="BZ24" s="49">
        <f t="shared" si="71"/>
        <v>0</v>
      </c>
      <c r="CA24" s="49">
        <f t="shared" si="72"/>
        <v>0</v>
      </c>
      <c r="CB24" s="49">
        <f t="shared" si="73"/>
        <v>0</v>
      </c>
      <c r="CC24" s="49">
        <f t="shared" si="74"/>
        <v>0</v>
      </c>
      <c r="CD24" s="49">
        <f t="shared" si="75"/>
        <v>0</v>
      </c>
      <c r="CE24" s="49">
        <f t="shared" si="76"/>
        <v>0</v>
      </c>
      <c r="CF24" s="49">
        <f t="shared" si="77"/>
        <v>0</v>
      </c>
      <c r="CG24" s="49">
        <f t="shared" si="78"/>
        <v>0</v>
      </c>
      <c r="CH24" s="49">
        <f t="shared" si="79"/>
        <v>0</v>
      </c>
      <c r="CI24" s="49">
        <f t="shared" si="80"/>
        <v>0</v>
      </c>
      <c r="CJ24" s="49">
        <f t="shared" si="81"/>
        <v>0</v>
      </c>
      <c r="CK24" s="49">
        <f t="shared" si="82"/>
        <v>0</v>
      </c>
      <c r="CL24" s="49">
        <f t="shared" si="83"/>
        <v>0</v>
      </c>
      <c r="CM24" s="49">
        <f t="shared" si="84"/>
        <v>0</v>
      </c>
      <c r="CN24" s="49">
        <f t="shared" si="85"/>
        <v>0</v>
      </c>
      <c r="CO24" s="49">
        <f t="shared" si="86"/>
        <v>0</v>
      </c>
      <c r="CP24" s="49">
        <f t="shared" si="87"/>
        <v>0</v>
      </c>
      <c r="CQ24" s="49">
        <f t="shared" si="88"/>
        <v>0</v>
      </c>
      <c r="CR24" s="49">
        <f t="shared" si="89"/>
        <v>0</v>
      </c>
      <c r="CS24" s="49">
        <f t="shared" si="90"/>
        <v>0</v>
      </c>
      <c r="CT24" s="49">
        <f t="shared" si="91"/>
        <v>0</v>
      </c>
      <c r="CU24" s="49">
        <f t="shared" si="92"/>
        <v>0</v>
      </c>
      <c r="CV24" s="49">
        <f t="shared" si="93"/>
        <v>0</v>
      </c>
      <c r="CW24" s="49">
        <f t="shared" si="94"/>
        <v>0</v>
      </c>
    </row>
    <row r="25" spans="1:101">
      <c r="J25"/>
      <c r="L25" s="49">
        <f t="shared" si="5"/>
        <v>0</v>
      </c>
      <c r="M25" s="49">
        <f t="shared" si="6"/>
        <v>0</v>
      </c>
      <c r="N25" s="49">
        <f t="shared" si="7"/>
        <v>0</v>
      </c>
      <c r="O25" s="49">
        <f t="shared" si="8"/>
        <v>0</v>
      </c>
      <c r="P25" s="49">
        <f t="shared" si="9"/>
        <v>0</v>
      </c>
      <c r="Q25" s="49">
        <f t="shared" si="10"/>
        <v>0</v>
      </c>
      <c r="R25" s="49">
        <f t="shared" si="11"/>
        <v>0</v>
      </c>
      <c r="S25" s="49">
        <f t="shared" si="12"/>
        <v>0</v>
      </c>
      <c r="T25" s="49">
        <f t="shared" si="13"/>
        <v>0</v>
      </c>
      <c r="U25" s="49">
        <f t="shared" si="14"/>
        <v>0</v>
      </c>
      <c r="V25" s="49">
        <f t="shared" si="15"/>
        <v>0</v>
      </c>
      <c r="W25" s="49">
        <f t="shared" si="16"/>
        <v>0</v>
      </c>
      <c r="X25" s="49">
        <f t="shared" si="17"/>
        <v>0</v>
      </c>
      <c r="Y25" s="49">
        <f t="shared" si="18"/>
        <v>0</v>
      </c>
      <c r="Z25" s="49">
        <f t="shared" si="19"/>
        <v>0</v>
      </c>
      <c r="AA25" s="49">
        <f t="shared" si="20"/>
        <v>0</v>
      </c>
      <c r="AB25" s="49">
        <f t="shared" si="21"/>
        <v>0</v>
      </c>
      <c r="AC25" s="49">
        <f t="shared" si="22"/>
        <v>0</v>
      </c>
      <c r="AD25" s="49">
        <f t="shared" si="23"/>
        <v>0</v>
      </c>
      <c r="AE25" s="49">
        <f t="shared" si="24"/>
        <v>0</v>
      </c>
      <c r="AF25" s="49">
        <f t="shared" si="25"/>
        <v>0</v>
      </c>
      <c r="AG25" s="49">
        <f t="shared" si="26"/>
        <v>0</v>
      </c>
      <c r="AH25" s="49">
        <f t="shared" si="27"/>
        <v>0</v>
      </c>
      <c r="AI25" s="49">
        <f t="shared" si="28"/>
        <v>0</v>
      </c>
      <c r="AJ25" s="49">
        <f t="shared" si="29"/>
        <v>0</v>
      </c>
      <c r="AK25" s="49">
        <f t="shared" si="30"/>
        <v>0</v>
      </c>
      <c r="AL25" s="49">
        <f t="shared" si="31"/>
        <v>0</v>
      </c>
      <c r="AM25" s="49">
        <f t="shared" si="32"/>
        <v>0</v>
      </c>
      <c r="AN25" s="49">
        <f t="shared" si="33"/>
        <v>0</v>
      </c>
      <c r="AO25" s="49">
        <f t="shared" si="34"/>
        <v>0</v>
      </c>
      <c r="AP25" s="49">
        <f t="shared" si="35"/>
        <v>0</v>
      </c>
      <c r="AQ25" s="49">
        <f t="shared" si="36"/>
        <v>0</v>
      </c>
      <c r="AR25" s="49">
        <f t="shared" si="37"/>
        <v>0</v>
      </c>
      <c r="AS25" s="49">
        <f t="shared" si="38"/>
        <v>0</v>
      </c>
      <c r="AT25" s="49">
        <f t="shared" si="39"/>
        <v>0</v>
      </c>
      <c r="AU25" s="49">
        <f t="shared" si="40"/>
        <v>0</v>
      </c>
      <c r="AV25" s="49">
        <f t="shared" si="41"/>
        <v>0</v>
      </c>
      <c r="AW25" s="49">
        <f t="shared" si="42"/>
        <v>0</v>
      </c>
      <c r="AX25" s="49">
        <f t="shared" si="43"/>
        <v>0</v>
      </c>
      <c r="AY25" s="49">
        <f t="shared" si="44"/>
        <v>0</v>
      </c>
      <c r="AZ25" s="49">
        <f t="shared" si="45"/>
        <v>0</v>
      </c>
      <c r="BA25" s="49">
        <f t="shared" si="46"/>
        <v>0</v>
      </c>
      <c r="BB25" s="49">
        <f t="shared" si="47"/>
        <v>0</v>
      </c>
      <c r="BC25" s="49">
        <f t="shared" si="48"/>
        <v>0</v>
      </c>
      <c r="BD25" s="49">
        <f t="shared" si="49"/>
        <v>0</v>
      </c>
      <c r="BE25" s="49">
        <f t="shared" si="50"/>
        <v>0</v>
      </c>
      <c r="BF25" s="49">
        <f t="shared" si="51"/>
        <v>0</v>
      </c>
      <c r="BG25" s="49">
        <f t="shared" si="52"/>
        <v>0</v>
      </c>
      <c r="BH25" s="49">
        <f t="shared" si="53"/>
        <v>0</v>
      </c>
      <c r="BI25" s="49">
        <f t="shared" si="54"/>
        <v>0</v>
      </c>
      <c r="BJ25" s="49">
        <f t="shared" si="55"/>
        <v>0</v>
      </c>
      <c r="BK25" s="49">
        <f t="shared" si="56"/>
        <v>0</v>
      </c>
      <c r="BL25" s="49">
        <f t="shared" si="57"/>
        <v>0</v>
      </c>
      <c r="BM25" s="49">
        <f t="shared" si="58"/>
        <v>0</v>
      </c>
      <c r="BN25" s="49">
        <f t="shared" si="59"/>
        <v>0</v>
      </c>
      <c r="BO25" s="49">
        <f t="shared" si="60"/>
        <v>0</v>
      </c>
      <c r="BP25" s="49">
        <f t="shared" si="61"/>
        <v>0</v>
      </c>
      <c r="BQ25" s="49">
        <f t="shared" si="62"/>
        <v>0</v>
      </c>
      <c r="BR25" s="49">
        <f t="shared" si="63"/>
        <v>0</v>
      </c>
      <c r="BS25" s="49">
        <f t="shared" si="64"/>
        <v>0</v>
      </c>
      <c r="BT25" s="49">
        <f t="shared" si="65"/>
        <v>0</v>
      </c>
      <c r="BU25" s="49">
        <f t="shared" si="66"/>
        <v>0</v>
      </c>
      <c r="BV25" s="49">
        <f t="shared" si="67"/>
        <v>0</v>
      </c>
      <c r="BW25" s="49">
        <f t="shared" si="68"/>
        <v>0</v>
      </c>
      <c r="BX25" s="49">
        <f t="shared" si="69"/>
        <v>0</v>
      </c>
      <c r="BY25" s="49">
        <f t="shared" si="70"/>
        <v>0</v>
      </c>
      <c r="BZ25" s="49">
        <f t="shared" si="71"/>
        <v>0</v>
      </c>
      <c r="CA25" s="49">
        <f t="shared" si="72"/>
        <v>0</v>
      </c>
      <c r="CB25" s="49">
        <f t="shared" si="73"/>
        <v>0</v>
      </c>
      <c r="CC25" s="49">
        <f t="shared" si="74"/>
        <v>0</v>
      </c>
      <c r="CD25" s="49">
        <f t="shared" si="75"/>
        <v>0</v>
      </c>
      <c r="CE25" s="49">
        <f t="shared" si="76"/>
        <v>0</v>
      </c>
      <c r="CF25" s="49">
        <f t="shared" si="77"/>
        <v>0</v>
      </c>
      <c r="CG25" s="49">
        <f t="shared" si="78"/>
        <v>0</v>
      </c>
      <c r="CH25" s="49">
        <f t="shared" si="79"/>
        <v>0</v>
      </c>
      <c r="CI25" s="49">
        <f t="shared" si="80"/>
        <v>0</v>
      </c>
      <c r="CJ25" s="49">
        <f t="shared" si="81"/>
        <v>0</v>
      </c>
      <c r="CK25" s="49">
        <f t="shared" si="82"/>
        <v>0</v>
      </c>
      <c r="CL25" s="49">
        <f t="shared" si="83"/>
        <v>0</v>
      </c>
      <c r="CM25" s="49">
        <f t="shared" si="84"/>
        <v>0</v>
      </c>
      <c r="CN25" s="49">
        <f t="shared" si="85"/>
        <v>0</v>
      </c>
      <c r="CO25" s="49">
        <f t="shared" si="86"/>
        <v>0</v>
      </c>
      <c r="CP25" s="49">
        <f t="shared" si="87"/>
        <v>0</v>
      </c>
      <c r="CQ25" s="49">
        <f t="shared" si="88"/>
        <v>0</v>
      </c>
      <c r="CR25" s="49">
        <f t="shared" si="89"/>
        <v>0</v>
      </c>
      <c r="CS25" s="49">
        <f t="shared" si="90"/>
        <v>0</v>
      </c>
      <c r="CT25" s="49">
        <f t="shared" si="91"/>
        <v>0</v>
      </c>
      <c r="CU25" s="49">
        <f t="shared" si="92"/>
        <v>0</v>
      </c>
      <c r="CV25" s="49">
        <f t="shared" si="93"/>
        <v>0</v>
      </c>
      <c r="CW25" s="49">
        <f t="shared" si="94"/>
        <v>0</v>
      </c>
    </row>
    <row r="26" spans="1:101">
      <c r="A26" s="178" t="s">
        <v>151</v>
      </c>
      <c r="B26" s="179"/>
      <c r="C26" s="179"/>
      <c r="D26" s="179"/>
      <c r="E26" s="179"/>
      <c r="F26" s="179"/>
      <c r="G26" s="179"/>
      <c r="H26" s="179"/>
      <c r="I26" s="179"/>
      <c r="J26"/>
      <c r="L26" s="49">
        <f t="shared" si="5"/>
        <v>0</v>
      </c>
      <c r="M26" s="49">
        <f t="shared" si="6"/>
        <v>0</v>
      </c>
      <c r="N26" s="49">
        <f t="shared" si="7"/>
        <v>0</v>
      </c>
      <c r="O26" s="49">
        <f t="shared" si="8"/>
        <v>0</v>
      </c>
      <c r="P26" s="49">
        <f t="shared" si="9"/>
        <v>0</v>
      </c>
      <c r="Q26" s="49">
        <f t="shared" si="10"/>
        <v>0</v>
      </c>
      <c r="R26" s="49">
        <f t="shared" si="11"/>
        <v>0</v>
      </c>
      <c r="S26" s="49">
        <f t="shared" si="12"/>
        <v>0</v>
      </c>
      <c r="T26" s="49">
        <f t="shared" si="13"/>
        <v>0</v>
      </c>
      <c r="U26" s="49">
        <f t="shared" si="14"/>
        <v>0</v>
      </c>
      <c r="V26" s="49">
        <f t="shared" si="15"/>
        <v>0</v>
      </c>
      <c r="W26" s="49">
        <f t="shared" si="16"/>
        <v>0</v>
      </c>
      <c r="X26" s="49">
        <f t="shared" si="17"/>
        <v>0</v>
      </c>
      <c r="Y26" s="49">
        <f t="shared" si="18"/>
        <v>0</v>
      </c>
      <c r="Z26" s="49">
        <f t="shared" si="19"/>
        <v>0</v>
      </c>
      <c r="AA26" s="49">
        <f t="shared" si="20"/>
        <v>0</v>
      </c>
      <c r="AB26" s="49">
        <f t="shared" si="21"/>
        <v>0</v>
      </c>
      <c r="AC26" s="49">
        <f t="shared" si="22"/>
        <v>0</v>
      </c>
      <c r="AD26" s="49">
        <f t="shared" si="23"/>
        <v>0</v>
      </c>
      <c r="AE26" s="49">
        <f t="shared" si="24"/>
        <v>0</v>
      </c>
      <c r="AF26" s="49">
        <f t="shared" si="25"/>
        <v>0</v>
      </c>
      <c r="AG26" s="49">
        <f t="shared" si="26"/>
        <v>0</v>
      </c>
      <c r="AH26" s="49">
        <f t="shared" si="27"/>
        <v>0</v>
      </c>
      <c r="AI26" s="49">
        <f t="shared" si="28"/>
        <v>0</v>
      </c>
      <c r="AJ26" s="49">
        <f t="shared" si="29"/>
        <v>0</v>
      </c>
      <c r="AK26" s="49">
        <f t="shared" si="30"/>
        <v>0</v>
      </c>
      <c r="AL26" s="49">
        <f t="shared" si="31"/>
        <v>0</v>
      </c>
      <c r="AM26" s="49">
        <f t="shared" si="32"/>
        <v>0</v>
      </c>
      <c r="AN26" s="49">
        <f t="shared" si="33"/>
        <v>0</v>
      </c>
      <c r="AO26" s="49">
        <f t="shared" si="34"/>
        <v>0</v>
      </c>
      <c r="AP26" s="49">
        <f t="shared" si="35"/>
        <v>0</v>
      </c>
      <c r="AQ26" s="49">
        <f t="shared" si="36"/>
        <v>0</v>
      </c>
      <c r="AR26" s="49">
        <f t="shared" si="37"/>
        <v>0</v>
      </c>
      <c r="AS26" s="49">
        <f t="shared" si="38"/>
        <v>0</v>
      </c>
      <c r="AT26" s="49">
        <f t="shared" si="39"/>
        <v>0</v>
      </c>
      <c r="AU26" s="49">
        <f t="shared" si="40"/>
        <v>0</v>
      </c>
      <c r="AV26" s="49">
        <f t="shared" si="41"/>
        <v>0</v>
      </c>
      <c r="AW26" s="49">
        <f t="shared" si="42"/>
        <v>0</v>
      </c>
      <c r="AX26" s="49">
        <f t="shared" si="43"/>
        <v>0</v>
      </c>
      <c r="AY26" s="49">
        <f t="shared" si="44"/>
        <v>0</v>
      </c>
      <c r="AZ26" s="49">
        <f t="shared" si="45"/>
        <v>0</v>
      </c>
      <c r="BA26" s="49">
        <f t="shared" si="46"/>
        <v>0</v>
      </c>
      <c r="BB26" s="49">
        <f t="shared" si="47"/>
        <v>0</v>
      </c>
      <c r="BC26" s="49">
        <f t="shared" si="48"/>
        <v>0</v>
      </c>
      <c r="BD26" s="49">
        <f t="shared" si="49"/>
        <v>0</v>
      </c>
      <c r="BE26" s="49">
        <f t="shared" si="50"/>
        <v>0</v>
      </c>
      <c r="BF26" s="49">
        <f t="shared" si="51"/>
        <v>0</v>
      </c>
      <c r="BG26" s="49">
        <f t="shared" si="52"/>
        <v>0</v>
      </c>
      <c r="BH26" s="49">
        <f t="shared" si="53"/>
        <v>0</v>
      </c>
      <c r="BI26" s="49">
        <f t="shared" si="54"/>
        <v>0</v>
      </c>
      <c r="BJ26" s="49">
        <f t="shared" si="55"/>
        <v>0</v>
      </c>
      <c r="BK26" s="49">
        <f t="shared" si="56"/>
        <v>0</v>
      </c>
      <c r="BL26" s="49">
        <f t="shared" si="57"/>
        <v>0</v>
      </c>
      <c r="BM26" s="49">
        <f t="shared" si="58"/>
        <v>0</v>
      </c>
      <c r="BN26" s="49">
        <f t="shared" si="59"/>
        <v>0</v>
      </c>
      <c r="BO26" s="49">
        <f t="shared" si="60"/>
        <v>0</v>
      </c>
      <c r="BP26" s="49">
        <f t="shared" si="61"/>
        <v>0</v>
      </c>
      <c r="BQ26" s="49">
        <f t="shared" si="62"/>
        <v>0</v>
      </c>
      <c r="BR26" s="49">
        <f t="shared" si="63"/>
        <v>0</v>
      </c>
      <c r="BS26" s="49">
        <f t="shared" si="64"/>
        <v>0</v>
      </c>
      <c r="BT26" s="49">
        <f t="shared" si="65"/>
        <v>0</v>
      </c>
      <c r="BU26" s="49">
        <f t="shared" si="66"/>
        <v>0</v>
      </c>
      <c r="BV26" s="49">
        <f t="shared" si="67"/>
        <v>0</v>
      </c>
      <c r="BW26" s="49">
        <f t="shared" si="68"/>
        <v>0</v>
      </c>
      <c r="BX26" s="49">
        <f t="shared" si="69"/>
        <v>0</v>
      </c>
      <c r="BY26" s="49">
        <f t="shared" si="70"/>
        <v>0</v>
      </c>
      <c r="BZ26" s="49">
        <f t="shared" si="71"/>
        <v>0</v>
      </c>
      <c r="CA26" s="49">
        <f t="shared" si="72"/>
        <v>0</v>
      </c>
      <c r="CB26" s="49">
        <f t="shared" si="73"/>
        <v>0</v>
      </c>
      <c r="CC26" s="49">
        <f t="shared" si="74"/>
        <v>0</v>
      </c>
      <c r="CD26" s="49">
        <f t="shared" si="75"/>
        <v>0</v>
      </c>
      <c r="CE26" s="49">
        <f t="shared" si="76"/>
        <v>0</v>
      </c>
      <c r="CF26" s="49">
        <f t="shared" si="77"/>
        <v>0</v>
      </c>
      <c r="CG26" s="49">
        <f t="shared" si="78"/>
        <v>0</v>
      </c>
      <c r="CH26" s="49">
        <f t="shared" si="79"/>
        <v>0</v>
      </c>
      <c r="CI26" s="49">
        <f t="shared" si="80"/>
        <v>0</v>
      </c>
      <c r="CJ26" s="49">
        <f t="shared" si="81"/>
        <v>0</v>
      </c>
      <c r="CK26" s="49">
        <f t="shared" si="82"/>
        <v>0</v>
      </c>
      <c r="CL26" s="49">
        <f t="shared" si="83"/>
        <v>0</v>
      </c>
      <c r="CM26" s="49">
        <f t="shared" si="84"/>
        <v>0</v>
      </c>
      <c r="CN26" s="49">
        <f t="shared" si="85"/>
        <v>0</v>
      </c>
      <c r="CO26" s="49">
        <f t="shared" si="86"/>
        <v>0</v>
      </c>
      <c r="CP26" s="49">
        <f t="shared" si="87"/>
        <v>0</v>
      </c>
      <c r="CQ26" s="49">
        <f t="shared" si="88"/>
        <v>0</v>
      </c>
      <c r="CR26" s="49">
        <f t="shared" si="89"/>
        <v>0</v>
      </c>
      <c r="CS26" s="49">
        <f t="shared" si="90"/>
        <v>0</v>
      </c>
      <c r="CT26" s="49">
        <f t="shared" si="91"/>
        <v>0</v>
      </c>
      <c r="CU26" s="49">
        <f t="shared" si="92"/>
        <v>0</v>
      </c>
      <c r="CV26" s="49">
        <f t="shared" si="93"/>
        <v>0</v>
      </c>
      <c r="CW26" s="49">
        <f t="shared" si="94"/>
        <v>0</v>
      </c>
    </row>
    <row r="27" spans="1:101">
      <c r="J27" s="9"/>
      <c r="L27" s="49">
        <f t="shared" si="5"/>
        <v>0</v>
      </c>
      <c r="M27" s="49">
        <f t="shared" si="6"/>
        <v>0</v>
      </c>
      <c r="N27" s="49">
        <f t="shared" si="7"/>
        <v>0</v>
      </c>
      <c r="O27" s="49">
        <f t="shared" si="8"/>
        <v>0</v>
      </c>
      <c r="P27" s="49">
        <f t="shared" si="9"/>
        <v>0</v>
      </c>
      <c r="Q27" s="49">
        <f t="shared" si="10"/>
        <v>0</v>
      </c>
      <c r="R27" s="49">
        <f t="shared" si="11"/>
        <v>0</v>
      </c>
      <c r="S27" s="49">
        <f t="shared" si="12"/>
        <v>0</v>
      </c>
      <c r="T27" s="49">
        <f t="shared" si="13"/>
        <v>0</v>
      </c>
      <c r="U27" s="49">
        <f t="shared" si="14"/>
        <v>0</v>
      </c>
      <c r="V27" s="49">
        <f t="shared" si="15"/>
        <v>0</v>
      </c>
      <c r="W27" s="49">
        <f t="shared" si="16"/>
        <v>0</v>
      </c>
      <c r="X27" s="49">
        <f t="shared" si="17"/>
        <v>0</v>
      </c>
      <c r="Y27" s="49">
        <f t="shared" si="18"/>
        <v>0</v>
      </c>
      <c r="Z27" s="49">
        <f t="shared" si="19"/>
        <v>0</v>
      </c>
      <c r="AA27" s="49">
        <f t="shared" si="20"/>
        <v>0</v>
      </c>
      <c r="AB27" s="49">
        <f t="shared" si="21"/>
        <v>0</v>
      </c>
      <c r="AC27" s="49">
        <f t="shared" si="22"/>
        <v>0</v>
      </c>
      <c r="AD27" s="49">
        <f t="shared" si="23"/>
        <v>0</v>
      </c>
      <c r="AE27" s="49">
        <f t="shared" si="24"/>
        <v>0</v>
      </c>
      <c r="AF27" s="49">
        <f t="shared" si="25"/>
        <v>0</v>
      </c>
      <c r="AG27" s="49">
        <f t="shared" si="26"/>
        <v>0</v>
      </c>
      <c r="AH27" s="49">
        <f t="shared" si="27"/>
        <v>0</v>
      </c>
      <c r="AI27" s="49">
        <f t="shared" si="28"/>
        <v>0</v>
      </c>
      <c r="AJ27" s="49">
        <f t="shared" si="29"/>
        <v>0</v>
      </c>
      <c r="AK27" s="49">
        <f t="shared" si="30"/>
        <v>0</v>
      </c>
      <c r="AL27" s="49">
        <f t="shared" si="31"/>
        <v>0</v>
      </c>
      <c r="AM27" s="49">
        <f t="shared" si="32"/>
        <v>0</v>
      </c>
      <c r="AN27" s="49">
        <f t="shared" si="33"/>
        <v>0</v>
      </c>
      <c r="AO27" s="49">
        <f t="shared" si="34"/>
        <v>0</v>
      </c>
      <c r="AP27" s="49">
        <f t="shared" si="35"/>
        <v>0</v>
      </c>
      <c r="AQ27" s="49">
        <f t="shared" si="36"/>
        <v>0</v>
      </c>
      <c r="AR27" s="49">
        <f t="shared" si="37"/>
        <v>0</v>
      </c>
      <c r="AS27" s="49">
        <f t="shared" si="38"/>
        <v>0</v>
      </c>
      <c r="AT27" s="49">
        <f t="shared" si="39"/>
        <v>0</v>
      </c>
      <c r="AU27" s="49">
        <f t="shared" si="40"/>
        <v>0</v>
      </c>
      <c r="AV27" s="49">
        <f t="shared" si="41"/>
        <v>0</v>
      </c>
      <c r="AW27" s="49">
        <f t="shared" si="42"/>
        <v>0</v>
      </c>
      <c r="AX27" s="49">
        <f t="shared" si="43"/>
        <v>0</v>
      </c>
      <c r="AY27" s="49">
        <f t="shared" si="44"/>
        <v>0</v>
      </c>
      <c r="AZ27" s="49">
        <f t="shared" si="45"/>
        <v>0</v>
      </c>
      <c r="BA27" s="49">
        <f t="shared" si="46"/>
        <v>0</v>
      </c>
      <c r="BB27" s="49">
        <f t="shared" si="47"/>
        <v>0</v>
      </c>
      <c r="BC27" s="49">
        <f t="shared" si="48"/>
        <v>0</v>
      </c>
      <c r="BD27" s="49">
        <f t="shared" si="49"/>
        <v>0</v>
      </c>
      <c r="BE27" s="49">
        <f t="shared" si="50"/>
        <v>0</v>
      </c>
      <c r="BF27" s="49">
        <f t="shared" si="51"/>
        <v>0</v>
      </c>
      <c r="BG27" s="49">
        <f t="shared" si="52"/>
        <v>0</v>
      </c>
      <c r="BH27" s="49">
        <f t="shared" si="53"/>
        <v>0</v>
      </c>
      <c r="BI27" s="49">
        <f t="shared" si="54"/>
        <v>0</v>
      </c>
      <c r="BJ27" s="49">
        <f t="shared" si="55"/>
        <v>0</v>
      </c>
      <c r="BK27" s="49">
        <f t="shared" si="56"/>
        <v>0</v>
      </c>
      <c r="BL27" s="49">
        <f t="shared" si="57"/>
        <v>0</v>
      </c>
      <c r="BM27" s="49">
        <f t="shared" si="58"/>
        <v>0</v>
      </c>
      <c r="BN27" s="49">
        <f t="shared" si="59"/>
        <v>0</v>
      </c>
      <c r="BO27" s="49">
        <f t="shared" si="60"/>
        <v>0</v>
      </c>
      <c r="BP27" s="49">
        <f t="shared" si="61"/>
        <v>0</v>
      </c>
      <c r="BQ27" s="49">
        <f t="shared" si="62"/>
        <v>0</v>
      </c>
      <c r="BR27" s="49">
        <f t="shared" si="63"/>
        <v>0</v>
      </c>
      <c r="BS27" s="49">
        <f t="shared" si="64"/>
        <v>0</v>
      </c>
      <c r="BT27" s="49">
        <f t="shared" si="65"/>
        <v>0</v>
      </c>
      <c r="BU27" s="49">
        <f t="shared" si="66"/>
        <v>0</v>
      </c>
      <c r="BV27" s="49">
        <f t="shared" si="67"/>
        <v>0</v>
      </c>
      <c r="BW27" s="49">
        <f t="shared" si="68"/>
        <v>0</v>
      </c>
      <c r="BX27" s="49">
        <f t="shared" si="69"/>
        <v>0</v>
      </c>
      <c r="BY27" s="49">
        <f t="shared" si="70"/>
        <v>0</v>
      </c>
      <c r="BZ27" s="49">
        <f t="shared" si="71"/>
        <v>0</v>
      </c>
      <c r="CA27" s="49">
        <f t="shared" si="72"/>
        <v>0</v>
      </c>
      <c r="CB27" s="49">
        <f t="shared" si="73"/>
        <v>0</v>
      </c>
      <c r="CC27" s="49">
        <f t="shared" si="74"/>
        <v>0</v>
      </c>
      <c r="CD27" s="49">
        <f t="shared" si="75"/>
        <v>0</v>
      </c>
      <c r="CE27" s="49">
        <f t="shared" si="76"/>
        <v>0</v>
      </c>
      <c r="CF27" s="49">
        <f t="shared" si="77"/>
        <v>0</v>
      </c>
      <c r="CG27" s="49">
        <f t="shared" si="78"/>
        <v>0</v>
      </c>
      <c r="CH27" s="49">
        <f t="shared" si="79"/>
        <v>0</v>
      </c>
      <c r="CI27" s="49">
        <f t="shared" si="80"/>
        <v>0</v>
      </c>
      <c r="CJ27" s="49">
        <f t="shared" si="81"/>
        <v>0</v>
      </c>
      <c r="CK27" s="49">
        <f t="shared" si="82"/>
        <v>0</v>
      </c>
      <c r="CL27" s="49">
        <f t="shared" si="83"/>
        <v>0</v>
      </c>
      <c r="CM27" s="49">
        <f t="shared" si="84"/>
        <v>0</v>
      </c>
      <c r="CN27" s="49">
        <f t="shared" si="85"/>
        <v>0</v>
      </c>
      <c r="CO27" s="49">
        <f t="shared" si="86"/>
        <v>0</v>
      </c>
      <c r="CP27" s="49">
        <f t="shared" si="87"/>
        <v>0</v>
      </c>
      <c r="CQ27" s="49">
        <f t="shared" si="88"/>
        <v>0</v>
      </c>
      <c r="CR27" s="49">
        <f t="shared" si="89"/>
        <v>0</v>
      </c>
      <c r="CS27" s="49">
        <f t="shared" si="90"/>
        <v>0</v>
      </c>
      <c r="CT27" s="49">
        <f t="shared" si="91"/>
        <v>0</v>
      </c>
      <c r="CU27" s="49">
        <f t="shared" si="92"/>
        <v>0</v>
      </c>
      <c r="CV27" s="49">
        <f t="shared" si="93"/>
        <v>0</v>
      </c>
      <c r="CW27" s="49">
        <f t="shared" si="94"/>
        <v>0</v>
      </c>
    </row>
    <row r="28" spans="1:101">
      <c r="J28" s="50"/>
      <c r="L28" s="49">
        <f t="shared" si="5"/>
        <v>0</v>
      </c>
      <c r="M28" s="49">
        <f t="shared" si="6"/>
        <v>0</v>
      </c>
      <c r="N28" s="49">
        <f t="shared" si="7"/>
        <v>0</v>
      </c>
      <c r="O28" s="49">
        <f t="shared" si="8"/>
        <v>0</v>
      </c>
      <c r="P28" s="49">
        <f t="shared" si="9"/>
        <v>0</v>
      </c>
      <c r="Q28" s="49">
        <f t="shared" si="10"/>
        <v>0</v>
      </c>
      <c r="R28" s="49">
        <f t="shared" si="11"/>
        <v>0</v>
      </c>
      <c r="S28" s="49">
        <f t="shared" si="12"/>
        <v>0</v>
      </c>
      <c r="T28" s="49">
        <f t="shared" si="13"/>
        <v>0</v>
      </c>
      <c r="U28" s="49">
        <f t="shared" si="14"/>
        <v>0</v>
      </c>
      <c r="V28" s="49">
        <f t="shared" si="15"/>
        <v>0</v>
      </c>
      <c r="W28" s="49">
        <f t="shared" si="16"/>
        <v>0</v>
      </c>
      <c r="X28" s="49">
        <f t="shared" si="17"/>
        <v>0</v>
      </c>
      <c r="Y28" s="49">
        <f t="shared" si="18"/>
        <v>0</v>
      </c>
      <c r="Z28" s="49">
        <f t="shared" si="19"/>
        <v>0</v>
      </c>
      <c r="AA28" s="49">
        <f t="shared" si="20"/>
        <v>0</v>
      </c>
      <c r="AB28" s="49">
        <f t="shared" si="21"/>
        <v>0</v>
      </c>
      <c r="AC28" s="49">
        <f t="shared" si="22"/>
        <v>0</v>
      </c>
      <c r="AD28" s="49">
        <f t="shared" si="23"/>
        <v>0</v>
      </c>
      <c r="AE28" s="49">
        <f t="shared" si="24"/>
        <v>0</v>
      </c>
      <c r="AF28" s="49">
        <f t="shared" si="25"/>
        <v>0</v>
      </c>
      <c r="AG28" s="49">
        <f t="shared" si="26"/>
        <v>0</v>
      </c>
      <c r="AH28" s="49">
        <f t="shared" si="27"/>
        <v>0</v>
      </c>
      <c r="AI28" s="49">
        <f t="shared" si="28"/>
        <v>0</v>
      </c>
      <c r="AJ28" s="49">
        <f t="shared" si="29"/>
        <v>0</v>
      </c>
      <c r="AK28" s="49">
        <f t="shared" si="30"/>
        <v>0</v>
      </c>
      <c r="AL28" s="49">
        <f t="shared" si="31"/>
        <v>0</v>
      </c>
      <c r="AM28" s="49">
        <f t="shared" si="32"/>
        <v>0</v>
      </c>
      <c r="AN28" s="49">
        <f t="shared" si="33"/>
        <v>0</v>
      </c>
      <c r="AO28" s="49">
        <f t="shared" si="34"/>
        <v>0</v>
      </c>
      <c r="AP28" s="49">
        <f t="shared" si="35"/>
        <v>0</v>
      </c>
      <c r="AQ28" s="49">
        <f t="shared" si="36"/>
        <v>0</v>
      </c>
      <c r="AR28" s="49">
        <f t="shared" si="37"/>
        <v>0</v>
      </c>
      <c r="AS28" s="49">
        <f t="shared" si="38"/>
        <v>0</v>
      </c>
      <c r="AT28" s="49">
        <f t="shared" si="39"/>
        <v>0</v>
      </c>
      <c r="AU28" s="49">
        <f t="shared" si="40"/>
        <v>0</v>
      </c>
      <c r="AV28" s="49">
        <f t="shared" si="41"/>
        <v>0</v>
      </c>
      <c r="AW28" s="49">
        <f t="shared" si="42"/>
        <v>0</v>
      </c>
      <c r="AX28" s="49">
        <f t="shared" si="43"/>
        <v>0</v>
      </c>
      <c r="AY28" s="49">
        <f t="shared" si="44"/>
        <v>0</v>
      </c>
      <c r="AZ28" s="49">
        <f t="shared" si="45"/>
        <v>0</v>
      </c>
      <c r="BA28" s="49">
        <f t="shared" si="46"/>
        <v>0</v>
      </c>
      <c r="BB28" s="49">
        <f t="shared" si="47"/>
        <v>0</v>
      </c>
      <c r="BC28" s="49">
        <f t="shared" si="48"/>
        <v>0</v>
      </c>
      <c r="BD28" s="49">
        <f t="shared" si="49"/>
        <v>0</v>
      </c>
      <c r="BE28" s="49">
        <f t="shared" si="50"/>
        <v>0</v>
      </c>
      <c r="BF28" s="49">
        <f t="shared" si="51"/>
        <v>0</v>
      </c>
      <c r="BG28" s="49">
        <f t="shared" si="52"/>
        <v>0</v>
      </c>
      <c r="BH28" s="49">
        <f t="shared" si="53"/>
        <v>0</v>
      </c>
      <c r="BI28" s="49">
        <f t="shared" si="54"/>
        <v>0</v>
      </c>
      <c r="BJ28" s="49">
        <f t="shared" si="55"/>
        <v>0</v>
      </c>
      <c r="BK28" s="49">
        <f t="shared" si="56"/>
        <v>0</v>
      </c>
      <c r="BL28" s="49">
        <f t="shared" si="57"/>
        <v>0</v>
      </c>
      <c r="BM28" s="49">
        <f t="shared" si="58"/>
        <v>0</v>
      </c>
      <c r="BN28" s="49">
        <f t="shared" si="59"/>
        <v>0</v>
      </c>
      <c r="BO28" s="49">
        <f t="shared" si="60"/>
        <v>0</v>
      </c>
      <c r="BP28" s="49">
        <f t="shared" si="61"/>
        <v>0</v>
      </c>
      <c r="BQ28" s="49">
        <f t="shared" si="62"/>
        <v>0</v>
      </c>
      <c r="BR28" s="49">
        <f t="shared" si="63"/>
        <v>0</v>
      </c>
      <c r="BS28" s="49">
        <f t="shared" si="64"/>
        <v>0</v>
      </c>
      <c r="BT28" s="49">
        <f t="shared" si="65"/>
        <v>0</v>
      </c>
      <c r="BU28" s="49">
        <f t="shared" si="66"/>
        <v>0</v>
      </c>
      <c r="BV28" s="49">
        <f t="shared" si="67"/>
        <v>0</v>
      </c>
      <c r="BW28" s="49">
        <f t="shared" si="68"/>
        <v>0</v>
      </c>
      <c r="BX28" s="49">
        <f t="shared" si="69"/>
        <v>0</v>
      </c>
      <c r="BY28" s="49">
        <f t="shared" si="70"/>
        <v>0</v>
      </c>
      <c r="BZ28" s="49">
        <f t="shared" si="71"/>
        <v>0</v>
      </c>
      <c r="CA28" s="49">
        <f t="shared" si="72"/>
        <v>0</v>
      </c>
      <c r="CB28" s="49">
        <f t="shared" si="73"/>
        <v>0</v>
      </c>
      <c r="CC28" s="49">
        <f t="shared" si="74"/>
        <v>0</v>
      </c>
      <c r="CD28" s="49">
        <f t="shared" si="75"/>
        <v>0</v>
      </c>
      <c r="CE28" s="49">
        <f t="shared" si="76"/>
        <v>0</v>
      </c>
      <c r="CF28" s="49">
        <f t="shared" si="77"/>
        <v>0</v>
      </c>
      <c r="CG28" s="49">
        <f t="shared" si="78"/>
        <v>0</v>
      </c>
      <c r="CH28" s="49">
        <f t="shared" si="79"/>
        <v>0</v>
      </c>
      <c r="CI28" s="49">
        <f t="shared" si="80"/>
        <v>0</v>
      </c>
      <c r="CJ28" s="49">
        <f t="shared" si="81"/>
        <v>0</v>
      </c>
      <c r="CK28" s="49">
        <f t="shared" si="82"/>
        <v>0</v>
      </c>
      <c r="CL28" s="49">
        <f t="shared" si="83"/>
        <v>0</v>
      </c>
      <c r="CM28" s="49">
        <f t="shared" si="84"/>
        <v>0</v>
      </c>
      <c r="CN28" s="49">
        <f t="shared" si="85"/>
        <v>0</v>
      </c>
      <c r="CO28" s="49">
        <f t="shared" si="86"/>
        <v>0</v>
      </c>
      <c r="CP28" s="49">
        <f t="shared" si="87"/>
        <v>0</v>
      </c>
      <c r="CQ28" s="49">
        <f t="shared" si="88"/>
        <v>0</v>
      </c>
      <c r="CR28" s="49">
        <f t="shared" si="89"/>
        <v>0</v>
      </c>
      <c r="CS28" s="49">
        <f t="shared" si="90"/>
        <v>0</v>
      </c>
      <c r="CT28" s="49">
        <f t="shared" si="91"/>
        <v>0</v>
      </c>
      <c r="CU28" s="49">
        <f t="shared" si="92"/>
        <v>0</v>
      </c>
      <c r="CV28" s="49">
        <f t="shared" si="93"/>
        <v>0</v>
      </c>
      <c r="CW28" s="49">
        <f t="shared" si="94"/>
        <v>0</v>
      </c>
    </row>
    <row r="29" spans="1:101">
      <c r="J29" s="50"/>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row>
    <row r="30" spans="1:101">
      <c r="J30" s="50"/>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row>
    <row r="31" spans="1:101">
      <c r="J31" s="50"/>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row>
    <row r="32" spans="1:101">
      <c r="J32" s="50"/>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row>
    <row r="33" spans="10:40">
      <c r="J33" s="50"/>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row>
    <row r="34" spans="10:40">
      <c r="J34" s="50"/>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row>
    <row r="35" spans="10:40">
      <c r="J35" s="50"/>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row>
    <row r="36" spans="10:40">
      <c r="J36" s="50"/>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row>
    <row r="37" spans="10:40">
      <c r="J37" s="50"/>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row>
    <row r="38" spans="10:40">
      <c r="J38" s="50"/>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row>
    <row r="39" spans="10:40">
      <c r="J39" s="50"/>
      <c r="K39" s="51"/>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row>
    <row r="40" spans="10:40">
      <c r="J40" s="50"/>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row>
    <row r="41" spans="10:40">
      <c r="J41" s="50"/>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row>
    <row r="42" spans="10:40">
      <c r="K42" s="51"/>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row>
    <row r="43" spans="10:40">
      <c r="K43" s="51"/>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row>
    <row r="44" spans="10:40">
      <c r="J44" s="50"/>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row>
    <row r="45" spans="10:40">
      <c r="J45" s="50"/>
      <c r="K45" s="51"/>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row>
    <row r="46" spans="10:40">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row>
    <row r="47" spans="10:40">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row>
    <row r="48" spans="10:40">
      <c r="J48" s="50"/>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row>
  </sheetData>
  <mergeCells count="4">
    <mergeCell ref="A1:I1"/>
    <mergeCell ref="A2:I2"/>
    <mergeCell ref="A3:I3"/>
    <mergeCell ref="A26:I26"/>
  </mergeCells>
  <pageMargins left="0.7" right="0.7" top="0.75" bottom="0.75" header="0.1" footer="0.3"/>
  <pageSetup orientation="portrait" horizontalDpi="300" verticalDpi="300"/>
  <headerFooter>
    <oddHeader>&amp;L&amp;"Arial,Bold"&amp;8 11:27 AM_x000D_&amp;"Arial,Bold"&amp;8 08/07/15_x000D_&amp;"Arial,Bold"&amp;8 &amp;C&amp;"Arial,Bold"&amp;12 Iterate Studio_x000D_&amp;"Arial,Bold"&amp;14 A/P Aging Detail_x000D_&amp;"Arial,Bold"&amp;10 As of August 7, 2015</oddHeader>
    <oddFooter>&amp;R&amp;"Arial,Bold"&amp;8 Page &amp;P of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O87"/>
  <sheetViews>
    <sheetView workbookViewId="0">
      <selection activeCell="C90" sqref="C90"/>
    </sheetView>
  </sheetViews>
  <sheetFormatPr baseColWidth="10" defaultRowHeight="15"/>
  <cols>
    <col min="1" max="1" width="37.83203125" style="89" customWidth="1"/>
    <col min="2" max="2" width="9.5" style="89" customWidth="1"/>
    <col min="3" max="8" width="11.1640625" style="89" customWidth="1"/>
    <col min="9" max="9" width="10.33203125" style="89" customWidth="1"/>
    <col min="10" max="10" width="11.1640625" style="89" customWidth="1"/>
    <col min="11" max="11" width="9.5" style="89" customWidth="1"/>
    <col min="12" max="14" width="11.1640625" style="89" customWidth="1"/>
    <col min="15" max="15" width="10.33203125" style="89" customWidth="1"/>
  </cols>
  <sheetData>
    <row r="1" spans="1:15" ht="18">
      <c r="A1" s="184" t="s">
        <v>195</v>
      </c>
      <c r="B1" s="185"/>
      <c r="C1" s="185"/>
      <c r="D1" s="185"/>
      <c r="E1" s="185"/>
      <c r="F1" s="185"/>
      <c r="G1" s="185"/>
      <c r="H1" s="185"/>
      <c r="I1" s="185"/>
      <c r="J1" s="185"/>
      <c r="K1" s="185"/>
      <c r="L1" s="185"/>
      <c r="M1" s="185"/>
      <c r="N1" s="185"/>
      <c r="O1" s="185"/>
    </row>
    <row r="2" spans="1:15" ht="18">
      <c r="A2" s="186" t="s">
        <v>14</v>
      </c>
      <c r="B2" s="179"/>
      <c r="C2" s="179"/>
      <c r="D2" s="179"/>
      <c r="E2" s="179"/>
      <c r="F2" s="179"/>
      <c r="G2" s="179"/>
      <c r="H2" s="179"/>
      <c r="I2" s="179"/>
      <c r="J2" s="179"/>
      <c r="K2" s="179"/>
      <c r="L2" s="179"/>
      <c r="M2" s="179"/>
      <c r="N2" s="179"/>
      <c r="O2" s="179"/>
    </row>
    <row r="3" spans="1:15">
      <c r="A3" s="187" t="s">
        <v>196</v>
      </c>
      <c r="B3" s="185"/>
      <c r="C3" s="185"/>
      <c r="D3" s="185"/>
      <c r="E3" s="185"/>
      <c r="F3" s="185"/>
      <c r="G3" s="185"/>
      <c r="H3" s="185"/>
      <c r="I3" s="185"/>
      <c r="J3" s="185"/>
      <c r="K3" s="185"/>
      <c r="L3" s="185"/>
      <c r="M3" s="185"/>
      <c r="N3" s="185"/>
      <c r="O3" s="185"/>
    </row>
    <row r="5" spans="1:15">
      <c r="A5" s="1"/>
      <c r="B5" s="96">
        <f t="shared" ref="B5:M5" si="0">C5-7</f>
        <v>42539</v>
      </c>
      <c r="C5" s="96">
        <f t="shared" si="0"/>
        <v>42546</v>
      </c>
      <c r="D5" s="96">
        <f t="shared" si="0"/>
        <v>42553</v>
      </c>
      <c r="E5" s="96">
        <f t="shared" si="0"/>
        <v>42560</v>
      </c>
      <c r="F5" s="96">
        <f t="shared" si="0"/>
        <v>42567</v>
      </c>
      <c r="G5" s="96">
        <f t="shared" si="0"/>
        <v>42574</v>
      </c>
      <c r="H5" s="96">
        <f t="shared" si="0"/>
        <v>42581</v>
      </c>
      <c r="I5" s="96">
        <f t="shared" si="0"/>
        <v>42588</v>
      </c>
      <c r="J5" s="96">
        <f t="shared" si="0"/>
        <v>42595</v>
      </c>
      <c r="K5" s="96">
        <f t="shared" si="0"/>
        <v>42602</v>
      </c>
      <c r="L5" s="96">
        <f t="shared" si="0"/>
        <v>42609</v>
      </c>
      <c r="M5" s="96">
        <f t="shared" si="0"/>
        <v>42616</v>
      </c>
      <c r="N5" s="96">
        <f>O5-7</f>
        <v>42623</v>
      </c>
      <c r="O5" s="96">
        <v>42630</v>
      </c>
    </row>
    <row r="6" spans="1:15" s="66" customFormat="1">
      <c r="A6" s="113" t="s">
        <v>0</v>
      </c>
      <c r="B6" s="114"/>
      <c r="C6" s="114"/>
      <c r="D6" s="114"/>
      <c r="E6" s="114"/>
      <c r="F6" s="114"/>
      <c r="G6" s="114"/>
      <c r="H6" s="114"/>
      <c r="I6" s="114"/>
      <c r="J6" s="114"/>
      <c r="K6" s="114"/>
      <c r="L6" s="114"/>
      <c r="M6" s="114"/>
      <c r="N6" s="114"/>
      <c r="O6" s="114"/>
    </row>
    <row r="7" spans="1:15" s="66" customFormat="1">
      <c r="A7" s="113" t="s">
        <v>28</v>
      </c>
      <c r="B7" s="114"/>
      <c r="C7" s="114"/>
      <c r="D7" s="114"/>
      <c r="E7" s="114"/>
      <c r="F7" s="114"/>
      <c r="G7" s="114"/>
      <c r="H7" s="114"/>
      <c r="I7" s="114"/>
      <c r="J7" s="114"/>
      <c r="K7" s="114"/>
      <c r="L7" s="114"/>
      <c r="M7" s="114"/>
      <c r="N7" s="114"/>
      <c r="O7" s="114"/>
    </row>
    <row r="8" spans="1:15" s="66" customFormat="1">
      <c r="A8" s="113" t="s">
        <v>197</v>
      </c>
      <c r="B8" s="115"/>
      <c r="C8" s="114"/>
      <c r="D8" s="114"/>
      <c r="E8" s="114"/>
      <c r="F8" s="114"/>
      <c r="G8" s="114"/>
      <c r="H8" s="114"/>
      <c r="I8" s="114"/>
      <c r="J8" s="114"/>
      <c r="K8" s="114"/>
      <c r="L8" s="114"/>
      <c r="M8" s="114"/>
      <c r="N8" s="114"/>
      <c r="O8" s="114"/>
    </row>
    <row r="9" spans="1:15" s="66" customFormat="1">
      <c r="A9" s="113" t="s">
        <v>198</v>
      </c>
      <c r="B9" s="115"/>
      <c r="C9" s="114"/>
      <c r="D9" s="114"/>
      <c r="E9" s="114"/>
      <c r="F9" s="114"/>
      <c r="G9" s="114"/>
      <c r="H9" s="114"/>
      <c r="I9" s="114"/>
      <c r="J9" s="114"/>
      <c r="K9" s="114"/>
      <c r="L9" s="114"/>
      <c r="M9" s="114"/>
      <c r="N9" s="114"/>
      <c r="O9" s="114"/>
    </row>
    <row r="10" spans="1:15" s="66" customFormat="1">
      <c r="A10" s="113" t="s">
        <v>199</v>
      </c>
      <c r="B10" s="115"/>
      <c r="C10" s="114"/>
      <c r="D10" s="114"/>
      <c r="E10" s="114"/>
      <c r="F10" s="114"/>
      <c r="G10" s="114"/>
      <c r="H10" s="114"/>
      <c r="I10" s="114"/>
      <c r="J10" s="114"/>
      <c r="K10" s="114"/>
      <c r="L10" s="114"/>
      <c r="M10" s="114"/>
      <c r="N10" s="114"/>
      <c r="O10" s="114"/>
    </row>
    <row r="11" spans="1:15" s="66" customFormat="1">
      <c r="A11" s="113" t="s">
        <v>29</v>
      </c>
      <c r="B11" s="115"/>
      <c r="C11" s="114"/>
      <c r="D11" s="114"/>
      <c r="E11" s="114"/>
      <c r="F11" s="114"/>
      <c r="G11" s="114"/>
      <c r="H11" s="114"/>
      <c r="I11" s="114"/>
      <c r="J11" s="114"/>
      <c r="K11" s="114"/>
      <c r="L11" s="114"/>
      <c r="M11" s="114"/>
      <c r="N11" s="114"/>
      <c r="O11" s="114"/>
    </row>
    <row r="12" spans="1:15" s="66" customFormat="1">
      <c r="A12" s="113" t="s">
        <v>26</v>
      </c>
      <c r="B12" s="115"/>
      <c r="C12" s="114"/>
      <c r="D12" s="114"/>
      <c r="E12" s="114"/>
      <c r="F12" s="114"/>
      <c r="G12" s="114"/>
      <c r="H12" s="114"/>
      <c r="I12" s="114"/>
      <c r="J12" s="114"/>
      <c r="K12" s="114"/>
      <c r="L12" s="114"/>
      <c r="M12" s="114"/>
      <c r="N12" s="114"/>
      <c r="O12" s="114"/>
    </row>
    <row r="13" spans="1:15" s="66" customFormat="1">
      <c r="A13" s="113" t="s">
        <v>200</v>
      </c>
      <c r="B13" s="115"/>
      <c r="C13" s="114"/>
      <c r="D13" s="114"/>
      <c r="E13" s="114"/>
      <c r="F13" s="114"/>
      <c r="G13" s="114"/>
      <c r="H13" s="114"/>
      <c r="I13" s="114"/>
      <c r="J13" s="114"/>
      <c r="K13" s="114"/>
      <c r="L13" s="114"/>
      <c r="M13" s="114"/>
      <c r="N13" s="114"/>
      <c r="O13" s="114"/>
    </row>
    <row r="14" spans="1:15" s="66" customFormat="1">
      <c r="A14" s="113" t="s">
        <v>201</v>
      </c>
      <c r="B14" s="115"/>
      <c r="C14" s="114"/>
      <c r="D14" s="114"/>
      <c r="E14" s="114"/>
      <c r="F14" s="114"/>
      <c r="G14" s="114"/>
      <c r="H14" s="114"/>
      <c r="I14" s="114"/>
      <c r="J14" s="114"/>
      <c r="K14" s="114"/>
      <c r="L14" s="114"/>
      <c r="M14" s="114"/>
      <c r="N14" s="114"/>
      <c r="O14" s="114"/>
    </row>
    <row r="15" spans="1:15" s="66" customFormat="1">
      <c r="A15" s="113" t="s">
        <v>202</v>
      </c>
      <c r="B15" s="115"/>
      <c r="C15" s="114"/>
      <c r="D15" s="114"/>
      <c r="E15" s="114"/>
      <c r="F15" s="114"/>
      <c r="G15" s="114"/>
      <c r="H15" s="114"/>
      <c r="I15" s="114"/>
      <c r="J15" s="114"/>
      <c r="K15" s="114"/>
      <c r="L15" s="114"/>
      <c r="M15" s="114"/>
      <c r="N15" s="114"/>
      <c r="O15" s="114"/>
    </row>
    <row r="16" spans="1:15" s="66" customFormat="1">
      <c r="A16" s="113" t="s">
        <v>27</v>
      </c>
      <c r="B16" s="115"/>
      <c r="C16" s="114"/>
      <c r="D16" s="114"/>
      <c r="E16" s="114"/>
      <c r="F16" s="114"/>
      <c r="G16" s="114"/>
      <c r="H16" s="114"/>
      <c r="I16" s="114"/>
      <c r="J16" s="114"/>
      <c r="K16" s="114"/>
      <c r="L16" s="114"/>
      <c r="M16" s="114"/>
      <c r="N16" s="114"/>
      <c r="O16" s="114"/>
    </row>
    <row r="17" spans="1:15" s="66" customFormat="1">
      <c r="A17" s="113" t="s">
        <v>1</v>
      </c>
      <c r="B17" s="115"/>
      <c r="C17" s="114"/>
      <c r="D17" s="114"/>
      <c r="E17" s="114"/>
      <c r="F17" s="114"/>
      <c r="G17" s="114"/>
      <c r="H17" s="114"/>
      <c r="I17" s="114"/>
      <c r="J17" s="114"/>
      <c r="K17" s="114"/>
      <c r="L17" s="114"/>
      <c r="M17" s="114"/>
      <c r="N17" s="114"/>
      <c r="O17" s="114"/>
    </row>
    <row r="18" spans="1:15" s="66" customFormat="1">
      <c r="A18" s="113" t="s">
        <v>2</v>
      </c>
      <c r="B18" s="116">
        <f t="shared" ref="B18:O18" si="1">((B11)+(B16))+(B17)</f>
        <v>0</v>
      </c>
      <c r="C18" s="116">
        <f t="shared" si="1"/>
        <v>0</v>
      </c>
      <c r="D18" s="116">
        <f t="shared" si="1"/>
        <v>0</v>
      </c>
      <c r="E18" s="116">
        <f t="shared" si="1"/>
        <v>0</v>
      </c>
      <c r="F18" s="116">
        <f t="shared" si="1"/>
        <v>0</v>
      </c>
      <c r="G18" s="116">
        <f t="shared" si="1"/>
        <v>0</v>
      </c>
      <c r="H18" s="116">
        <f t="shared" si="1"/>
        <v>0</v>
      </c>
      <c r="I18" s="116">
        <f t="shared" si="1"/>
        <v>0</v>
      </c>
      <c r="J18" s="116">
        <f t="shared" si="1"/>
        <v>0</v>
      </c>
      <c r="K18" s="116">
        <f t="shared" si="1"/>
        <v>0</v>
      </c>
      <c r="L18" s="116">
        <f t="shared" si="1"/>
        <v>0</v>
      </c>
      <c r="M18" s="116">
        <f t="shared" si="1"/>
        <v>0</v>
      </c>
      <c r="N18" s="116">
        <f t="shared" si="1"/>
        <v>0</v>
      </c>
      <c r="O18" s="116">
        <f t="shared" si="1"/>
        <v>0</v>
      </c>
    </row>
    <row r="19" spans="1:15" s="66" customFormat="1" ht="15" customHeight="1">
      <c r="A19" s="113" t="s">
        <v>3</v>
      </c>
      <c r="B19" s="117"/>
      <c r="C19" s="117"/>
      <c r="D19" s="117"/>
      <c r="E19" s="117"/>
      <c r="F19" s="117"/>
      <c r="G19" s="117"/>
      <c r="H19" s="117"/>
      <c r="I19" s="117"/>
      <c r="J19" s="117"/>
      <c r="K19" s="117"/>
      <c r="L19" s="117"/>
      <c r="M19" s="117"/>
      <c r="N19" s="117"/>
      <c r="O19" s="117"/>
    </row>
    <row r="20" spans="1:15" s="66" customFormat="1" ht="15" customHeight="1">
      <c r="A20" s="113" t="s">
        <v>30</v>
      </c>
      <c r="B20" s="117"/>
      <c r="C20" s="117"/>
      <c r="D20" s="117"/>
      <c r="E20" s="117"/>
      <c r="F20" s="117"/>
      <c r="G20" s="117"/>
      <c r="H20" s="117"/>
      <c r="I20" s="117"/>
      <c r="J20" s="117"/>
      <c r="K20" s="117"/>
      <c r="L20" s="117"/>
      <c r="M20" s="117"/>
      <c r="N20" s="117"/>
      <c r="O20" s="117"/>
    </row>
    <row r="21" spans="1:15" s="66" customFormat="1" ht="15" customHeight="1">
      <c r="A21" s="113" t="s">
        <v>31</v>
      </c>
      <c r="B21" s="118"/>
      <c r="C21" s="118"/>
      <c r="D21" s="118"/>
      <c r="E21" s="118"/>
      <c r="F21" s="118"/>
      <c r="G21" s="118"/>
      <c r="H21" s="118"/>
      <c r="I21" s="118"/>
      <c r="J21" s="118"/>
      <c r="K21" s="118"/>
      <c r="L21" s="118"/>
      <c r="M21" s="118"/>
      <c r="N21" s="118"/>
      <c r="O21" s="118"/>
    </row>
    <row r="22" spans="1:15" s="66" customFormat="1" ht="15" customHeight="1">
      <c r="A22" s="113" t="s">
        <v>203</v>
      </c>
      <c r="B22" s="118"/>
      <c r="C22" s="118"/>
      <c r="D22" s="118"/>
      <c r="E22" s="118"/>
      <c r="F22" s="118"/>
      <c r="G22" s="118"/>
      <c r="H22" s="118"/>
      <c r="I22" s="118"/>
      <c r="J22" s="118"/>
      <c r="K22" s="118"/>
      <c r="L22" s="118"/>
      <c r="M22" s="118"/>
      <c r="N22" s="118"/>
      <c r="O22" s="118"/>
    </row>
    <row r="23" spans="1:15" s="66" customFormat="1" ht="15" customHeight="1">
      <c r="A23" s="113" t="s">
        <v>204</v>
      </c>
      <c r="B23" s="118"/>
      <c r="C23" s="118"/>
      <c r="D23" s="118"/>
      <c r="E23" s="118"/>
      <c r="F23" s="118"/>
      <c r="G23" s="118"/>
      <c r="H23" s="118"/>
      <c r="I23" s="118"/>
      <c r="J23" s="118"/>
      <c r="K23" s="118"/>
      <c r="L23" s="118"/>
      <c r="M23" s="118"/>
      <c r="N23" s="118"/>
      <c r="O23" s="118"/>
    </row>
    <row r="24" spans="1:15" s="66" customFormat="1" ht="15" customHeight="1">
      <c r="A24" s="113" t="s">
        <v>205</v>
      </c>
      <c r="B24" s="119"/>
      <c r="C24" s="119"/>
      <c r="D24" s="119"/>
      <c r="E24" s="119"/>
      <c r="F24" s="119"/>
      <c r="G24" s="119"/>
      <c r="H24" s="119"/>
      <c r="I24" s="119"/>
      <c r="J24" s="119"/>
      <c r="K24" s="119"/>
      <c r="L24" s="119"/>
      <c r="M24" s="119"/>
      <c r="N24" s="119"/>
      <c r="O24" s="119"/>
    </row>
    <row r="25" spans="1:15" s="66" customFormat="1">
      <c r="A25" s="113" t="s">
        <v>32</v>
      </c>
      <c r="B25" s="116">
        <f t="shared" ref="B25:O25" si="2">(((B21)+(B22))+(B23))+(B24)</f>
        <v>0</v>
      </c>
      <c r="C25" s="116">
        <f t="shared" si="2"/>
        <v>0</v>
      </c>
      <c r="D25" s="116">
        <f t="shared" si="2"/>
        <v>0</v>
      </c>
      <c r="E25" s="116">
        <f t="shared" si="2"/>
        <v>0</v>
      </c>
      <c r="F25" s="116">
        <f t="shared" si="2"/>
        <v>0</v>
      </c>
      <c r="G25" s="116">
        <f t="shared" si="2"/>
        <v>0</v>
      </c>
      <c r="H25" s="116">
        <f t="shared" si="2"/>
        <v>0</v>
      </c>
      <c r="I25" s="116">
        <f t="shared" si="2"/>
        <v>0</v>
      </c>
      <c r="J25" s="116">
        <f t="shared" si="2"/>
        <v>0</v>
      </c>
      <c r="K25" s="116">
        <f t="shared" si="2"/>
        <v>0</v>
      </c>
      <c r="L25" s="116">
        <f t="shared" si="2"/>
        <v>0</v>
      </c>
      <c r="M25" s="116">
        <f t="shared" si="2"/>
        <v>0</v>
      </c>
      <c r="N25" s="116">
        <f t="shared" si="2"/>
        <v>0</v>
      </c>
      <c r="O25" s="116">
        <f t="shared" si="2"/>
        <v>0</v>
      </c>
    </row>
    <row r="26" spans="1:15" s="66" customFormat="1">
      <c r="A26" s="113" t="s">
        <v>33</v>
      </c>
      <c r="B26" s="116">
        <f t="shared" ref="B26:O26" si="3">(B20)+(B25)</f>
        <v>0</v>
      </c>
      <c r="C26" s="116">
        <f t="shared" si="3"/>
        <v>0</v>
      </c>
      <c r="D26" s="116">
        <f t="shared" si="3"/>
        <v>0</v>
      </c>
      <c r="E26" s="116">
        <f t="shared" si="3"/>
        <v>0</v>
      </c>
      <c r="F26" s="116">
        <f t="shared" si="3"/>
        <v>0</v>
      </c>
      <c r="G26" s="116">
        <f t="shared" si="3"/>
        <v>0</v>
      </c>
      <c r="H26" s="116">
        <f t="shared" si="3"/>
        <v>0</v>
      </c>
      <c r="I26" s="116">
        <f t="shared" si="3"/>
        <v>0</v>
      </c>
      <c r="J26" s="116">
        <f t="shared" si="3"/>
        <v>0</v>
      </c>
      <c r="K26" s="116">
        <f t="shared" si="3"/>
        <v>0</v>
      </c>
      <c r="L26" s="116">
        <f t="shared" si="3"/>
        <v>0</v>
      </c>
      <c r="M26" s="116">
        <f t="shared" si="3"/>
        <v>0</v>
      </c>
      <c r="N26" s="116">
        <f t="shared" si="3"/>
        <v>0</v>
      </c>
      <c r="O26" s="116">
        <f t="shared" si="3"/>
        <v>0</v>
      </c>
    </row>
    <row r="27" spans="1:15" s="66" customFormat="1">
      <c r="A27" s="113" t="s">
        <v>4</v>
      </c>
      <c r="B27" s="116">
        <f t="shared" ref="B27:O27" si="4">B26</f>
        <v>0</v>
      </c>
      <c r="C27" s="116">
        <f t="shared" si="4"/>
        <v>0</v>
      </c>
      <c r="D27" s="116">
        <f t="shared" si="4"/>
        <v>0</v>
      </c>
      <c r="E27" s="116">
        <f t="shared" si="4"/>
        <v>0</v>
      </c>
      <c r="F27" s="116">
        <f t="shared" si="4"/>
        <v>0</v>
      </c>
      <c r="G27" s="116">
        <f t="shared" si="4"/>
        <v>0</v>
      </c>
      <c r="H27" s="116">
        <f t="shared" si="4"/>
        <v>0</v>
      </c>
      <c r="I27" s="116">
        <f t="shared" si="4"/>
        <v>0</v>
      </c>
      <c r="J27" s="116">
        <f t="shared" si="4"/>
        <v>0</v>
      </c>
      <c r="K27" s="116">
        <f t="shared" si="4"/>
        <v>0</v>
      </c>
      <c r="L27" s="116">
        <f t="shared" si="4"/>
        <v>0</v>
      </c>
      <c r="M27" s="116">
        <f t="shared" si="4"/>
        <v>0</v>
      </c>
      <c r="N27" s="116">
        <f t="shared" si="4"/>
        <v>0</v>
      </c>
      <c r="O27" s="116">
        <f t="shared" si="4"/>
        <v>0</v>
      </c>
    </row>
    <row r="28" spans="1:15" s="66" customFormat="1">
      <c r="A28" s="113" t="s">
        <v>5</v>
      </c>
      <c r="B28" s="116">
        <f t="shared" ref="B28:O28" si="5">(B18)-(B27)</f>
        <v>0</v>
      </c>
      <c r="C28" s="116">
        <f t="shared" si="5"/>
        <v>0</v>
      </c>
      <c r="D28" s="116">
        <f t="shared" si="5"/>
        <v>0</v>
      </c>
      <c r="E28" s="116">
        <f t="shared" si="5"/>
        <v>0</v>
      </c>
      <c r="F28" s="116">
        <f t="shared" si="5"/>
        <v>0</v>
      </c>
      <c r="G28" s="116">
        <f t="shared" si="5"/>
        <v>0</v>
      </c>
      <c r="H28" s="116">
        <f t="shared" si="5"/>
        <v>0</v>
      </c>
      <c r="I28" s="116">
        <f t="shared" si="5"/>
        <v>0</v>
      </c>
      <c r="J28" s="116">
        <f t="shared" si="5"/>
        <v>0</v>
      </c>
      <c r="K28" s="116">
        <f t="shared" si="5"/>
        <v>0</v>
      </c>
      <c r="L28" s="116">
        <f t="shared" si="5"/>
        <v>0</v>
      </c>
      <c r="M28" s="116">
        <f t="shared" si="5"/>
        <v>0</v>
      </c>
      <c r="N28" s="116">
        <f t="shared" si="5"/>
        <v>0</v>
      </c>
      <c r="O28" s="116">
        <f t="shared" si="5"/>
        <v>0</v>
      </c>
    </row>
    <row r="29" spans="1:15" s="66" customFormat="1">
      <c r="A29" s="113" t="s">
        <v>6</v>
      </c>
      <c r="B29" s="114"/>
      <c r="C29" s="114"/>
      <c r="D29" s="114"/>
      <c r="E29" s="114"/>
      <c r="F29" s="114"/>
      <c r="G29" s="114"/>
      <c r="H29" s="114"/>
      <c r="I29" s="114"/>
      <c r="J29" s="114"/>
      <c r="K29" s="114"/>
      <c r="L29" s="114"/>
      <c r="M29" s="114"/>
      <c r="N29" s="114"/>
      <c r="O29" s="114"/>
    </row>
    <row r="30" spans="1:15" s="66" customFormat="1">
      <c r="A30" s="113" t="s">
        <v>83</v>
      </c>
      <c r="B30" s="114"/>
      <c r="C30" s="114"/>
      <c r="D30" s="114"/>
      <c r="E30" s="114"/>
      <c r="F30" s="114"/>
      <c r="G30" s="114"/>
      <c r="H30" s="114"/>
      <c r="I30" s="114"/>
      <c r="J30" s="114"/>
      <c r="K30" s="114"/>
      <c r="L30" s="114"/>
      <c r="M30" s="114"/>
      <c r="N30" s="114"/>
      <c r="O30" s="114"/>
    </row>
    <row r="31" spans="1:15" s="66" customFormat="1">
      <c r="A31" s="113" t="s">
        <v>84</v>
      </c>
      <c r="B31" s="114">
        <v>0</v>
      </c>
      <c r="C31" s="115">
        <v>325</v>
      </c>
      <c r="D31" s="114">
        <v>0</v>
      </c>
      <c r="E31" s="114">
        <v>0</v>
      </c>
      <c r="F31" s="114">
        <v>0</v>
      </c>
      <c r="G31" s="114">
        <v>0</v>
      </c>
      <c r="H31" s="114">
        <v>0</v>
      </c>
      <c r="I31" s="114">
        <v>0</v>
      </c>
      <c r="J31" s="114">
        <v>0</v>
      </c>
      <c r="K31" s="114">
        <v>0</v>
      </c>
      <c r="L31" s="114">
        <v>0</v>
      </c>
      <c r="M31" s="115">
        <v>1037</v>
      </c>
      <c r="N31" s="114">
        <v>0</v>
      </c>
      <c r="O31" s="114">
        <v>0</v>
      </c>
    </row>
    <row r="32" spans="1:15" s="66" customFormat="1">
      <c r="A32" s="113" t="s">
        <v>85</v>
      </c>
      <c r="B32" s="114">
        <v>0</v>
      </c>
      <c r="C32" s="114">
        <v>0</v>
      </c>
      <c r="D32" s="114">
        <v>0</v>
      </c>
      <c r="E32" s="115">
        <v>288.12</v>
      </c>
      <c r="F32" s="115">
        <v>10.95</v>
      </c>
      <c r="G32" s="115">
        <v>172.05</v>
      </c>
      <c r="H32" s="114">
        <v>0</v>
      </c>
      <c r="I32" s="115">
        <v>262.05</v>
      </c>
      <c r="J32" s="115">
        <v>1.99</v>
      </c>
      <c r="K32" s="115">
        <v>10.95</v>
      </c>
      <c r="L32" s="114">
        <v>0</v>
      </c>
      <c r="M32" s="115">
        <v>262.05</v>
      </c>
      <c r="N32" s="115">
        <v>152.54</v>
      </c>
      <c r="O32" s="115">
        <v>10.95</v>
      </c>
    </row>
    <row r="33" spans="1:15" s="66" customFormat="1">
      <c r="A33" s="113" t="s">
        <v>86</v>
      </c>
      <c r="B33" s="114">
        <v>0</v>
      </c>
      <c r="C33" s="114">
        <v>0</v>
      </c>
      <c r="D33" s="114">
        <v>0</v>
      </c>
      <c r="E33" s="114">
        <v>0</v>
      </c>
      <c r="F33" s="114">
        <v>0</v>
      </c>
      <c r="G33" s="114">
        <v>0</v>
      </c>
      <c r="H33" s="114">
        <v>0</v>
      </c>
      <c r="I33" s="114">
        <v>0</v>
      </c>
      <c r="J33" s="114">
        <v>0</v>
      </c>
      <c r="K33" s="114">
        <v>0</v>
      </c>
      <c r="L33" s="114">
        <v>0</v>
      </c>
      <c r="M33" s="114">
        <v>0</v>
      </c>
      <c r="N33" s="114">
        <v>0</v>
      </c>
      <c r="O33" s="114">
        <v>0</v>
      </c>
    </row>
    <row r="34" spans="1:15" s="66" customFormat="1">
      <c r="A34" s="113" t="s">
        <v>87</v>
      </c>
      <c r="B34" s="114">
        <v>0</v>
      </c>
      <c r="C34" s="114">
        <v>0</v>
      </c>
      <c r="D34" s="114">
        <v>0</v>
      </c>
      <c r="E34" s="114">
        <v>0</v>
      </c>
      <c r="F34" s="114">
        <v>0</v>
      </c>
      <c r="G34" s="115">
        <v>169.88</v>
      </c>
      <c r="H34" s="114">
        <v>0</v>
      </c>
      <c r="I34" s="114">
        <v>0</v>
      </c>
      <c r="J34" s="114">
        <v>0</v>
      </c>
      <c r="K34" s="114">
        <v>0</v>
      </c>
      <c r="L34" s="115">
        <v>175.55</v>
      </c>
      <c r="M34" s="114">
        <v>0</v>
      </c>
      <c r="N34" s="114">
        <v>0</v>
      </c>
      <c r="O34" s="114">
        <v>0</v>
      </c>
    </row>
    <row r="35" spans="1:15" s="66" customFormat="1">
      <c r="A35" s="113" t="s">
        <v>88</v>
      </c>
      <c r="B35" s="115">
        <v>5908</v>
      </c>
      <c r="C35" s="114">
        <v>0</v>
      </c>
      <c r="D35" s="115">
        <v>738.5</v>
      </c>
      <c r="E35" s="114">
        <v>0</v>
      </c>
      <c r="F35" s="114">
        <v>0</v>
      </c>
      <c r="G35" s="114">
        <v>0</v>
      </c>
      <c r="H35" s="115">
        <v>738.5</v>
      </c>
      <c r="I35" s="114">
        <v>0</v>
      </c>
      <c r="J35" s="114">
        <v>0</v>
      </c>
      <c r="K35" s="114">
        <v>0</v>
      </c>
      <c r="L35" s="115">
        <v>738.5</v>
      </c>
      <c r="M35" s="114">
        <v>0</v>
      </c>
      <c r="N35" s="114">
        <v>0</v>
      </c>
      <c r="O35" s="114">
        <v>0</v>
      </c>
    </row>
    <row r="36" spans="1:15" s="66" customFormat="1">
      <c r="A36" s="113" t="s">
        <v>89</v>
      </c>
      <c r="B36" s="116">
        <v>5908</v>
      </c>
      <c r="C36" s="116">
        <v>0</v>
      </c>
      <c r="D36" s="116">
        <v>738.5</v>
      </c>
      <c r="E36" s="116">
        <v>0</v>
      </c>
      <c r="F36" s="116">
        <v>0</v>
      </c>
      <c r="G36" s="116">
        <v>169.88</v>
      </c>
      <c r="H36" s="116">
        <v>738.5</v>
      </c>
      <c r="I36" s="116">
        <v>0</v>
      </c>
      <c r="J36" s="116">
        <v>0</v>
      </c>
      <c r="K36" s="116">
        <v>0</v>
      </c>
      <c r="L36" s="116">
        <v>914.05</v>
      </c>
      <c r="M36" s="116">
        <v>0</v>
      </c>
      <c r="N36" s="116">
        <v>0</v>
      </c>
      <c r="O36" s="116">
        <v>0</v>
      </c>
    </row>
    <row r="37" spans="1:15" s="66" customFormat="1">
      <c r="A37" s="113" t="s">
        <v>90</v>
      </c>
      <c r="B37" s="3"/>
      <c r="C37" s="3"/>
      <c r="D37" s="4">
        <v>183.92</v>
      </c>
      <c r="E37" s="4">
        <v>595.33000000000004</v>
      </c>
      <c r="F37" s="4">
        <v>89.52</v>
      </c>
      <c r="G37" s="4">
        <v>15.55</v>
      </c>
      <c r="H37" s="4">
        <v>215.06</v>
      </c>
      <c r="I37" s="4">
        <v>62.09</v>
      </c>
      <c r="J37" s="4">
        <v>353.16</v>
      </c>
      <c r="K37" s="4">
        <v>117.2</v>
      </c>
      <c r="L37" s="4">
        <v>54.27</v>
      </c>
      <c r="M37" s="4">
        <v>117.2</v>
      </c>
      <c r="N37" s="4">
        <v>127.99</v>
      </c>
      <c r="O37" s="4">
        <v>190.16</v>
      </c>
    </row>
    <row r="38" spans="1:15" s="66" customFormat="1">
      <c r="A38" s="113" t="s">
        <v>91</v>
      </c>
      <c r="B38" s="3"/>
      <c r="C38" s="3"/>
      <c r="D38" s="4">
        <v>14.04</v>
      </c>
      <c r="E38" s="3"/>
      <c r="F38" s="3"/>
      <c r="G38" s="4">
        <v>31.3</v>
      </c>
      <c r="H38" s="4">
        <v>14.04</v>
      </c>
      <c r="I38" s="4">
        <v>11.5</v>
      </c>
      <c r="J38" s="3"/>
      <c r="K38" s="3"/>
      <c r="L38" s="4">
        <v>68.03</v>
      </c>
      <c r="M38" s="3"/>
      <c r="N38" s="3"/>
      <c r="O38" s="4">
        <v>189.03</v>
      </c>
    </row>
    <row r="39" spans="1:15" s="66" customFormat="1">
      <c r="A39" s="113" t="s">
        <v>92</v>
      </c>
      <c r="B39" s="114"/>
      <c r="C39" s="114"/>
      <c r="D39" s="114"/>
      <c r="E39" s="114"/>
      <c r="F39" s="114"/>
      <c r="G39" s="114"/>
      <c r="H39" s="114"/>
      <c r="I39" s="114"/>
      <c r="J39" s="114"/>
      <c r="K39" s="114"/>
      <c r="L39" s="114"/>
      <c r="M39" s="114"/>
      <c r="N39" s="114"/>
      <c r="O39" s="114"/>
    </row>
    <row r="40" spans="1:15" s="66" customFormat="1">
      <c r="A40" s="113" t="s">
        <v>93</v>
      </c>
      <c r="B40" s="114">
        <v>0</v>
      </c>
      <c r="C40" s="114">
        <v>0</v>
      </c>
      <c r="D40" s="114">
        <v>0</v>
      </c>
      <c r="E40" s="114">
        <v>0</v>
      </c>
      <c r="F40" s="115">
        <v>4577.25</v>
      </c>
      <c r="G40" s="114">
        <v>0</v>
      </c>
      <c r="H40" s="115">
        <v>3338</v>
      </c>
      <c r="I40" s="114">
        <v>0</v>
      </c>
      <c r="J40" s="114">
        <v>0</v>
      </c>
      <c r="K40" s="114">
        <v>0</v>
      </c>
      <c r="L40" s="115">
        <v>858.93</v>
      </c>
      <c r="M40" s="115">
        <v>438</v>
      </c>
      <c r="N40" s="114">
        <v>0</v>
      </c>
      <c r="O40" s="114">
        <v>0</v>
      </c>
    </row>
    <row r="41" spans="1:15" s="66" customFormat="1">
      <c r="A41" s="113" t="s">
        <v>94</v>
      </c>
      <c r="B41" s="114">
        <v>0</v>
      </c>
      <c r="C41" s="114">
        <v>0</v>
      </c>
      <c r="D41" s="114">
        <v>0</v>
      </c>
      <c r="E41" s="114">
        <v>0</v>
      </c>
      <c r="F41" s="114">
        <v>0</v>
      </c>
      <c r="G41" s="115">
        <v>160</v>
      </c>
      <c r="H41" s="114">
        <v>0</v>
      </c>
      <c r="I41" s="114">
        <v>0</v>
      </c>
      <c r="J41" s="114">
        <v>0</v>
      </c>
      <c r="K41" s="114">
        <v>0</v>
      </c>
      <c r="L41" s="115">
        <v>160</v>
      </c>
      <c r="M41" s="114">
        <v>0</v>
      </c>
      <c r="N41" s="114">
        <v>0</v>
      </c>
      <c r="O41" s="114">
        <v>0</v>
      </c>
    </row>
    <row r="42" spans="1:15" s="66" customFormat="1">
      <c r="A42" s="113" t="s">
        <v>95</v>
      </c>
      <c r="B42" s="114">
        <v>0</v>
      </c>
      <c r="C42" s="114">
        <v>0</v>
      </c>
      <c r="D42" s="115">
        <v>5801.25</v>
      </c>
      <c r="E42" s="114">
        <v>0</v>
      </c>
      <c r="F42" s="115">
        <v>42.79</v>
      </c>
      <c r="G42" s="115">
        <v>2817.5</v>
      </c>
      <c r="H42" s="114">
        <v>0</v>
      </c>
      <c r="I42" s="114">
        <v>0</v>
      </c>
      <c r="J42" s="114">
        <v>0</v>
      </c>
      <c r="K42" s="114">
        <v>0</v>
      </c>
      <c r="L42" s="114">
        <v>0</v>
      </c>
      <c r="M42" s="115">
        <v>35</v>
      </c>
      <c r="N42" s="115">
        <v>3647.5</v>
      </c>
      <c r="O42" s="114">
        <v>0</v>
      </c>
    </row>
    <row r="43" spans="1:15" s="66" customFormat="1">
      <c r="A43" s="113" t="s">
        <v>96</v>
      </c>
      <c r="B43" s="116">
        <v>0</v>
      </c>
      <c r="C43" s="116">
        <v>0</v>
      </c>
      <c r="D43" s="116">
        <v>5801.25</v>
      </c>
      <c r="E43" s="116">
        <v>0</v>
      </c>
      <c r="F43" s="116">
        <v>4620.04</v>
      </c>
      <c r="G43" s="116">
        <v>2977.5</v>
      </c>
      <c r="H43" s="116">
        <v>3338</v>
      </c>
      <c r="I43" s="116">
        <v>0</v>
      </c>
      <c r="J43" s="116">
        <v>0</v>
      </c>
      <c r="K43" s="116">
        <v>0</v>
      </c>
      <c r="L43" s="116">
        <v>1018.93</v>
      </c>
      <c r="M43" s="116">
        <v>473</v>
      </c>
      <c r="N43" s="116">
        <v>3647.5</v>
      </c>
      <c r="O43" s="116">
        <v>0</v>
      </c>
    </row>
    <row r="44" spans="1:15" s="66" customFormat="1">
      <c r="A44" s="113" t="s">
        <v>97</v>
      </c>
      <c r="B44" s="115">
        <v>0</v>
      </c>
      <c r="C44" s="114">
        <v>0</v>
      </c>
      <c r="D44" s="114">
        <v>0</v>
      </c>
      <c r="E44" s="114">
        <v>0</v>
      </c>
      <c r="F44" s="114">
        <v>223.18</v>
      </c>
      <c r="G44" s="114">
        <v>0</v>
      </c>
      <c r="H44" s="114">
        <v>0</v>
      </c>
      <c r="I44" s="114">
        <v>0</v>
      </c>
      <c r="J44" s="115">
        <v>318.3</v>
      </c>
      <c r="K44" s="114">
        <v>0</v>
      </c>
      <c r="L44" s="114">
        <v>0</v>
      </c>
      <c r="M44" s="114">
        <v>0</v>
      </c>
      <c r="N44" s="115">
        <v>0</v>
      </c>
      <c r="O44" s="114">
        <v>396.68</v>
      </c>
    </row>
    <row r="45" spans="1:15" s="66" customFormat="1">
      <c r="A45" s="113" t="s">
        <v>98</v>
      </c>
      <c r="B45" s="114">
        <v>0</v>
      </c>
      <c r="C45" s="115">
        <v>64.069999999999993</v>
      </c>
      <c r="D45" s="114">
        <v>0</v>
      </c>
      <c r="E45" s="114">
        <v>0</v>
      </c>
      <c r="F45" s="115">
        <v>24</v>
      </c>
      <c r="G45" s="115">
        <v>45</v>
      </c>
      <c r="H45" s="115">
        <v>0</v>
      </c>
      <c r="I45" s="114">
        <v>0</v>
      </c>
      <c r="J45" s="115">
        <v>0</v>
      </c>
      <c r="K45" s="114">
        <v>0</v>
      </c>
      <c r="L45" s="114">
        <v>85</v>
      </c>
      <c r="M45" s="114">
        <v>69</v>
      </c>
      <c r="N45" s="114">
        <v>48</v>
      </c>
      <c r="O45" s="115">
        <v>0</v>
      </c>
    </row>
    <row r="46" spans="1:15" s="66" customFormat="1">
      <c r="A46" s="113" t="s">
        <v>99</v>
      </c>
      <c r="B46" s="114">
        <v>110</v>
      </c>
      <c r="C46" s="114">
        <v>0</v>
      </c>
      <c r="D46" s="114">
        <v>0</v>
      </c>
      <c r="E46" s="114">
        <v>0</v>
      </c>
      <c r="F46" s="114">
        <v>110</v>
      </c>
      <c r="G46" s="115">
        <v>0</v>
      </c>
      <c r="H46" s="114">
        <v>0</v>
      </c>
      <c r="I46" s="114">
        <v>0</v>
      </c>
      <c r="J46" s="114">
        <v>0</v>
      </c>
      <c r="K46" s="114">
        <v>110</v>
      </c>
      <c r="L46" s="115">
        <v>0</v>
      </c>
      <c r="M46" s="114">
        <v>59.95</v>
      </c>
      <c r="N46" s="114">
        <v>0</v>
      </c>
      <c r="O46" s="114">
        <v>0</v>
      </c>
    </row>
    <row r="47" spans="1:15" s="66" customFormat="1">
      <c r="A47" s="113" t="s">
        <v>100</v>
      </c>
      <c r="B47" s="115">
        <v>258.99</v>
      </c>
      <c r="C47" s="114">
        <v>696.97</v>
      </c>
      <c r="D47" s="115">
        <v>99</v>
      </c>
      <c r="E47" s="115">
        <v>99.96</v>
      </c>
      <c r="F47" s="114">
        <v>462.82</v>
      </c>
      <c r="G47" s="115">
        <v>172.49</v>
      </c>
      <c r="H47" s="115">
        <v>241.75</v>
      </c>
      <c r="I47" s="115">
        <v>69.98</v>
      </c>
      <c r="J47" s="115">
        <v>266.57</v>
      </c>
      <c r="K47" s="114">
        <v>335.74</v>
      </c>
      <c r="L47" s="115">
        <v>227.51</v>
      </c>
      <c r="M47" s="114">
        <v>216.72</v>
      </c>
      <c r="N47" s="115">
        <v>103.97</v>
      </c>
      <c r="O47" s="115">
        <v>189.64</v>
      </c>
    </row>
    <row r="48" spans="1:15" s="66" customFormat="1">
      <c r="A48" s="113" t="s">
        <v>101</v>
      </c>
      <c r="B48" s="114">
        <v>0</v>
      </c>
      <c r="C48" s="114">
        <v>0</v>
      </c>
      <c r="D48" s="114">
        <v>0</v>
      </c>
      <c r="E48" s="114">
        <v>0</v>
      </c>
      <c r="F48" s="114">
        <v>0</v>
      </c>
      <c r="G48" s="115">
        <v>0</v>
      </c>
      <c r="H48" s="114">
        <v>0</v>
      </c>
      <c r="I48" s="114">
        <v>0</v>
      </c>
      <c r="J48" s="114">
        <v>32.06</v>
      </c>
      <c r="K48" s="114">
        <v>0</v>
      </c>
      <c r="L48" s="114">
        <v>0</v>
      </c>
      <c r="M48" s="114">
        <v>7.5</v>
      </c>
      <c r="N48" s="114">
        <v>10.86</v>
      </c>
      <c r="O48" s="114">
        <v>35.17</v>
      </c>
    </row>
    <row r="49" spans="1:15" s="66" customFormat="1">
      <c r="A49" s="113" t="s">
        <v>102</v>
      </c>
      <c r="B49" s="115">
        <v>0</v>
      </c>
      <c r="C49" s="114">
        <v>2601.0500000000002</v>
      </c>
      <c r="D49" s="114">
        <v>0</v>
      </c>
      <c r="E49" s="115">
        <v>0</v>
      </c>
      <c r="F49" s="114">
        <v>0</v>
      </c>
      <c r="G49" s="115">
        <v>2601.04</v>
      </c>
      <c r="H49" s="114">
        <v>0</v>
      </c>
      <c r="I49" s="114">
        <v>0</v>
      </c>
      <c r="J49" s="114">
        <v>0</v>
      </c>
      <c r="K49" s="114">
        <v>0</v>
      </c>
      <c r="L49" s="115">
        <v>2601.04</v>
      </c>
      <c r="M49" s="114">
        <v>0</v>
      </c>
      <c r="N49" s="114">
        <v>0</v>
      </c>
      <c r="O49" s="114">
        <v>0</v>
      </c>
    </row>
    <row r="50" spans="1:15" s="66" customFormat="1">
      <c r="A50" s="113" t="s">
        <v>103</v>
      </c>
      <c r="B50" s="114">
        <v>0</v>
      </c>
      <c r="C50" s="115">
        <v>79.319999999999993</v>
      </c>
      <c r="D50" s="114">
        <v>0</v>
      </c>
      <c r="E50" s="114">
        <v>0</v>
      </c>
      <c r="F50" s="114">
        <v>0</v>
      </c>
      <c r="G50" s="115">
        <v>79.319999999999993</v>
      </c>
      <c r="H50" s="114">
        <v>0</v>
      </c>
      <c r="I50" s="114">
        <v>0</v>
      </c>
      <c r="J50" s="115">
        <v>285.3</v>
      </c>
      <c r="K50" s="114">
        <v>79.319999999999993</v>
      </c>
      <c r="L50" s="115">
        <v>4.95</v>
      </c>
      <c r="M50" s="114">
        <v>15.9</v>
      </c>
      <c r="N50" s="115">
        <v>0</v>
      </c>
      <c r="O50" s="114">
        <v>0</v>
      </c>
    </row>
    <row r="51" spans="1:15" s="66" customFormat="1">
      <c r="A51" s="113" t="s">
        <v>104</v>
      </c>
      <c r="B51" s="114">
        <v>0</v>
      </c>
      <c r="C51" s="114">
        <v>0</v>
      </c>
      <c r="D51" s="114">
        <v>0</v>
      </c>
      <c r="E51" s="114">
        <v>0</v>
      </c>
      <c r="F51" s="114">
        <v>0</v>
      </c>
      <c r="G51" s="114">
        <v>0</v>
      </c>
      <c r="H51" s="114">
        <v>0</v>
      </c>
      <c r="I51" s="114">
        <v>0</v>
      </c>
      <c r="J51" s="114">
        <v>0</v>
      </c>
      <c r="K51" s="114">
        <v>0</v>
      </c>
      <c r="L51" s="114">
        <v>0</v>
      </c>
      <c r="M51" s="115">
        <v>769</v>
      </c>
      <c r="N51" s="114">
        <v>0</v>
      </c>
      <c r="O51" s="115">
        <v>60</v>
      </c>
    </row>
    <row r="52" spans="1:15" s="66" customFormat="1">
      <c r="A52" s="113" t="s">
        <v>105</v>
      </c>
      <c r="B52" s="114"/>
      <c r="C52" s="114"/>
      <c r="D52" s="114"/>
      <c r="E52" s="114"/>
      <c r="F52" s="114"/>
      <c r="G52" s="115"/>
      <c r="H52" s="114"/>
      <c r="I52" s="114"/>
      <c r="J52" s="114"/>
      <c r="K52" s="114"/>
      <c r="L52" s="114"/>
      <c r="M52" s="114"/>
      <c r="N52" s="114"/>
      <c r="O52" s="114"/>
    </row>
    <row r="53" spans="1:15" s="66" customFormat="1">
      <c r="A53" s="113" t="s">
        <v>106</v>
      </c>
      <c r="B53" s="114">
        <v>0</v>
      </c>
      <c r="C53" s="115">
        <v>31.66</v>
      </c>
      <c r="D53" s="115">
        <v>155.51</v>
      </c>
      <c r="E53" s="115">
        <v>191.14</v>
      </c>
      <c r="F53" s="114">
        <v>0</v>
      </c>
      <c r="G53" s="115">
        <v>15.97</v>
      </c>
      <c r="H53" s="115">
        <v>0</v>
      </c>
      <c r="I53" s="114">
        <v>0</v>
      </c>
      <c r="J53" s="114">
        <v>0</v>
      </c>
      <c r="K53" s="114">
        <v>15.99</v>
      </c>
      <c r="L53" s="115">
        <v>555.82000000000005</v>
      </c>
      <c r="M53" s="115">
        <v>0</v>
      </c>
      <c r="N53" s="115">
        <v>0</v>
      </c>
      <c r="O53" s="115">
        <v>33.6</v>
      </c>
    </row>
    <row r="54" spans="1:15" s="66" customFormat="1">
      <c r="A54" s="113" t="s">
        <v>107</v>
      </c>
      <c r="B54" s="114">
        <v>0</v>
      </c>
      <c r="C54" s="115">
        <v>2976.18</v>
      </c>
      <c r="D54" s="115">
        <v>2426.8000000000002</v>
      </c>
      <c r="E54" s="115">
        <v>362.62</v>
      </c>
      <c r="F54" s="115">
        <v>20</v>
      </c>
      <c r="G54" s="115">
        <v>0</v>
      </c>
      <c r="H54" s="115">
        <v>0</v>
      </c>
      <c r="I54" s="115">
        <v>665.4</v>
      </c>
      <c r="J54" s="115">
        <v>3235.6</v>
      </c>
      <c r="K54" s="115">
        <v>741.56</v>
      </c>
      <c r="L54" s="115">
        <v>99.99</v>
      </c>
      <c r="M54" s="114">
        <v>0</v>
      </c>
      <c r="N54" s="115">
        <v>637.96</v>
      </c>
      <c r="O54" s="115">
        <v>700.8</v>
      </c>
    </row>
    <row r="55" spans="1:15" s="66" customFormat="1">
      <c r="A55" s="113" t="s">
        <v>108</v>
      </c>
      <c r="B55" s="114">
        <v>0</v>
      </c>
      <c r="C55" s="115">
        <v>0</v>
      </c>
      <c r="D55" s="115">
        <v>98.13</v>
      </c>
      <c r="E55" s="115">
        <v>1694.41</v>
      </c>
      <c r="F55" s="115">
        <v>0</v>
      </c>
      <c r="G55" s="115">
        <v>0</v>
      </c>
      <c r="H55" s="115">
        <v>300</v>
      </c>
      <c r="I55" s="115">
        <v>0</v>
      </c>
      <c r="J55" s="114">
        <v>0</v>
      </c>
      <c r="K55" s="115">
        <v>300</v>
      </c>
      <c r="L55" s="115">
        <v>3043.67</v>
      </c>
      <c r="M55" s="115">
        <v>0</v>
      </c>
      <c r="N55" s="115">
        <v>192.66</v>
      </c>
      <c r="O55" s="114">
        <v>2.97</v>
      </c>
    </row>
    <row r="56" spans="1:15" s="66" customFormat="1">
      <c r="A56" s="113" t="s">
        <v>109</v>
      </c>
      <c r="B56" s="114">
        <v>0</v>
      </c>
      <c r="C56" s="115">
        <v>0</v>
      </c>
      <c r="D56" s="115">
        <v>463.67</v>
      </c>
      <c r="E56" s="115">
        <v>242.03</v>
      </c>
      <c r="F56" s="115">
        <v>113.3</v>
      </c>
      <c r="G56" s="115">
        <v>0</v>
      </c>
      <c r="H56" s="115">
        <v>56.68</v>
      </c>
      <c r="I56" s="115">
        <v>191.26</v>
      </c>
      <c r="J56" s="115">
        <v>0</v>
      </c>
      <c r="K56" s="115">
        <v>0</v>
      </c>
      <c r="L56" s="115">
        <v>26.37</v>
      </c>
      <c r="M56" s="115">
        <v>5.94</v>
      </c>
      <c r="N56" s="115">
        <v>26.25</v>
      </c>
      <c r="O56" s="114">
        <v>29.86</v>
      </c>
    </row>
    <row r="57" spans="1:15" s="66" customFormat="1">
      <c r="A57" s="113" t="s">
        <v>110</v>
      </c>
      <c r="B57" s="114">
        <v>0</v>
      </c>
      <c r="C57" s="114">
        <v>0</v>
      </c>
      <c r="D57" s="114">
        <v>3</v>
      </c>
      <c r="E57" s="115">
        <v>0</v>
      </c>
      <c r="F57" s="115">
        <v>0</v>
      </c>
      <c r="G57" s="115">
        <v>384.9</v>
      </c>
      <c r="H57" s="115">
        <v>0</v>
      </c>
      <c r="I57" s="114">
        <v>0</v>
      </c>
      <c r="J57" s="114">
        <v>0</v>
      </c>
      <c r="K57" s="115">
        <v>0</v>
      </c>
      <c r="L57" s="114">
        <v>42.34</v>
      </c>
      <c r="M57" s="115">
        <v>0</v>
      </c>
      <c r="N57" s="114">
        <v>0</v>
      </c>
      <c r="O57" s="115">
        <v>0</v>
      </c>
    </row>
    <row r="58" spans="1:15" s="66" customFormat="1">
      <c r="A58" s="113" t="s">
        <v>111</v>
      </c>
      <c r="B58" s="114">
        <v>0</v>
      </c>
      <c r="C58" s="115">
        <v>0</v>
      </c>
      <c r="D58" s="115">
        <v>134.74</v>
      </c>
      <c r="E58" s="115">
        <v>80.77</v>
      </c>
      <c r="F58" s="115">
        <v>3.5</v>
      </c>
      <c r="G58" s="115">
        <v>0</v>
      </c>
      <c r="H58" s="115">
        <v>18.53</v>
      </c>
      <c r="I58" s="115">
        <v>2.5</v>
      </c>
      <c r="J58" s="115">
        <v>2</v>
      </c>
      <c r="K58" s="115">
        <v>12</v>
      </c>
      <c r="L58" s="115">
        <v>126.2</v>
      </c>
      <c r="M58" s="115">
        <v>5.25</v>
      </c>
      <c r="N58" s="115">
        <v>0</v>
      </c>
      <c r="O58" s="115">
        <v>0</v>
      </c>
    </row>
    <row r="59" spans="1:15" s="66" customFormat="1">
      <c r="A59" s="113" t="s">
        <v>112</v>
      </c>
      <c r="B59" s="116">
        <v>0</v>
      </c>
      <c r="C59" s="116">
        <v>3007.8399999999997</v>
      </c>
      <c r="D59" s="116">
        <v>3281.8500000000004</v>
      </c>
      <c r="E59" s="116">
        <v>2570.9700000000003</v>
      </c>
      <c r="F59" s="116">
        <v>136.80000000000001</v>
      </c>
      <c r="G59" s="116">
        <v>400.87</v>
      </c>
      <c r="H59" s="116">
        <v>375.21000000000004</v>
      </c>
      <c r="I59" s="116">
        <v>859.16</v>
      </c>
      <c r="J59" s="116">
        <v>3237.6</v>
      </c>
      <c r="K59" s="116">
        <v>1069.55</v>
      </c>
      <c r="L59" s="116">
        <v>3894.39</v>
      </c>
      <c r="M59" s="116">
        <v>11.190000000000001</v>
      </c>
      <c r="N59" s="116">
        <v>856.87</v>
      </c>
      <c r="O59" s="116">
        <v>767.23</v>
      </c>
    </row>
    <row r="60" spans="1:15" s="66" customFormat="1">
      <c r="A60" s="113" t="s">
        <v>137</v>
      </c>
      <c r="B60" s="114"/>
      <c r="C60" s="114"/>
      <c r="D60" s="114"/>
      <c r="E60" s="114"/>
      <c r="F60" s="114"/>
      <c r="G60" s="115"/>
      <c r="H60" s="114"/>
      <c r="I60" s="114"/>
      <c r="J60" s="114"/>
      <c r="K60" s="115"/>
      <c r="L60" s="114"/>
      <c r="M60" s="114"/>
      <c r="N60" s="114"/>
      <c r="O60" s="115"/>
    </row>
    <row r="61" spans="1:15" s="66" customFormat="1">
      <c r="A61" s="113" t="s">
        <v>113</v>
      </c>
      <c r="B61" s="116">
        <v>6276.99</v>
      </c>
      <c r="C61" s="116">
        <v>6774.25</v>
      </c>
      <c r="D61" s="116">
        <v>10118.560000000001</v>
      </c>
      <c r="E61" s="116">
        <v>3554.38</v>
      </c>
      <c r="F61" s="116">
        <v>5677.31</v>
      </c>
      <c r="G61" s="116">
        <v>6665</v>
      </c>
      <c r="H61" s="116">
        <v>4922.5600000000004</v>
      </c>
      <c r="I61" s="116">
        <v>1264.78</v>
      </c>
      <c r="J61" s="116">
        <v>4494.9799999999996</v>
      </c>
      <c r="K61" s="116">
        <v>1722.76</v>
      </c>
      <c r="L61" s="116">
        <v>8868.17</v>
      </c>
      <c r="M61" s="116">
        <v>3038.51</v>
      </c>
      <c r="N61" s="116">
        <v>4947.7299999999996</v>
      </c>
      <c r="O61" s="116">
        <v>1838.86</v>
      </c>
    </row>
    <row r="62" spans="1:15" s="66" customFormat="1">
      <c r="A62" s="113" t="s">
        <v>114</v>
      </c>
      <c r="B62" s="114"/>
      <c r="C62" s="114"/>
      <c r="D62" s="114"/>
      <c r="E62" s="114"/>
      <c r="F62" s="114"/>
      <c r="G62" s="114"/>
      <c r="H62" s="114"/>
      <c r="I62" s="114"/>
      <c r="J62" s="114"/>
      <c r="K62" s="114"/>
      <c r="L62" s="114"/>
      <c r="M62" s="114"/>
      <c r="N62" s="114"/>
      <c r="O62" s="114"/>
    </row>
    <row r="63" spans="1:15" s="66" customFormat="1">
      <c r="A63" s="113" t="s">
        <v>115</v>
      </c>
      <c r="B63" s="114">
        <v>538.74</v>
      </c>
      <c r="C63" s="115">
        <v>11.25</v>
      </c>
      <c r="D63" s="115">
        <v>99</v>
      </c>
      <c r="E63" s="115">
        <v>554.54</v>
      </c>
      <c r="F63" s="115">
        <v>567.95000000000005</v>
      </c>
      <c r="G63" s="115">
        <v>25</v>
      </c>
      <c r="H63" s="115">
        <v>532.23</v>
      </c>
      <c r="I63" s="115">
        <v>500</v>
      </c>
      <c r="J63" s="115">
        <v>278.95</v>
      </c>
      <c r="K63" s="115">
        <v>618.46</v>
      </c>
      <c r="L63" s="115">
        <v>111.25</v>
      </c>
      <c r="M63" s="115">
        <v>99</v>
      </c>
      <c r="N63" s="115">
        <v>529</v>
      </c>
      <c r="O63" s="115">
        <v>250.95</v>
      </c>
    </row>
    <row r="64" spans="1:15" s="66" customFormat="1">
      <c r="A64" s="113" t="s">
        <v>116</v>
      </c>
      <c r="B64" s="114"/>
      <c r="C64" s="114">
        <v>12419</v>
      </c>
      <c r="D64" s="115"/>
      <c r="E64" s="115"/>
      <c r="F64" s="115"/>
      <c r="G64" s="115">
        <v>13270</v>
      </c>
      <c r="H64" s="114">
        <v>229</v>
      </c>
      <c r="I64" s="114"/>
      <c r="J64" s="114"/>
      <c r="K64" s="115"/>
      <c r="L64" s="115">
        <v>229</v>
      </c>
      <c r="M64" s="114"/>
      <c r="N64" s="115"/>
      <c r="O64" s="115"/>
    </row>
    <row r="65" spans="1:15" s="66" customFormat="1">
      <c r="A65" s="113" t="s">
        <v>117</v>
      </c>
      <c r="B65" s="116">
        <v>538.74</v>
      </c>
      <c r="C65" s="116">
        <v>12430.25</v>
      </c>
      <c r="D65" s="116">
        <v>99</v>
      </c>
      <c r="E65" s="116">
        <v>554.54</v>
      </c>
      <c r="F65" s="116">
        <v>567.95000000000005</v>
      </c>
      <c r="G65" s="116">
        <v>13295</v>
      </c>
      <c r="H65" s="116">
        <v>761.23</v>
      </c>
      <c r="I65" s="116">
        <v>500</v>
      </c>
      <c r="J65" s="116">
        <v>278.95</v>
      </c>
      <c r="K65" s="116">
        <v>618.46</v>
      </c>
      <c r="L65" s="116">
        <v>340.25</v>
      </c>
      <c r="M65" s="116">
        <v>99</v>
      </c>
      <c r="N65" s="116">
        <v>529</v>
      </c>
      <c r="O65" s="116">
        <v>250.95</v>
      </c>
    </row>
    <row r="66" spans="1:15" s="66" customFormat="1">
      <c r="A66" s="113" t="s">
        <v>118</v>
      </c>
      <c r="B66" s="116">
        <v>538.74</v>
      </c>
      <c r="C66" s="116">
        <v>12430.25</v>
      </c>
      <c r="D66" s="116">
        <v>99</v>
      </c>
      <c r="E66" s="116">
        <v>554.54</v>
      </c>
      <c r="F66" s="116">
        <v>567.95000000000005</v>
      </c>
      <c r="G66" s="116">
        <v>13295</v>
      </c>
      <c r="H66" s="116">
        <v>761.23</v>
      </c>
      <c r="I66" s="116">
        <v>500</v>
      </c>
      <c r="J66" s="116">
        <v>278.95</v>
      </c>
      <c r="K66" s="116">
        <v>618.46</v>
      </c>
      <c r="L66" s="116">
        <v>340.25</v>
      </c>
      <c r="M66" s="116">
        <v>99</v>
      </c>
      <c r="N66" s="116">
        <v>529</v>
      </c>
      <c r="O66" s="116">
        <v>250.95</v>
      </c>
    </row>
    <row r="67" spans="1:15" s="66" customFormat="1">
      <c r="A67" s="113" t="s">
        <v>119</v>
      </c>
      <c r="B67" s="114">
        <v>0</v>
      </c>
      <c r="C67" s="114">
        <v>0</v>
      </c>
      <c r="D67" s="114">
        <v>0</v>
      </c>
      <c r="E67" s="114">
        <v>0</v>
      </c>
      <c r="F67" s="114">
        <v>0</v>
      </c>
      <c r="G67" s="114">
        <v>0</v>
      </c>
      <c r="H67" s="114">
        <v>0</v>
      </c>
      <c r="I67" s="114">
        <v>0</v>
      </c>
      <c r="J67" s="114">
        <v>0</v>
      </c>
      <c r="K67" s="114">
        <v>0</v>
      </c>
      <c r="L67" s="114">
        <v>0</v>
      </c>
      <c r="M67" s="114">
        <v>0</v>
      </c>
      <c r="N67" s="114">
        <v>0</v>
      </c>
      <c r="O67" s="114">
        <v>0</v>
      </c>
    </row>
    <row r="68" spans="1:15" s="66" customFormat="1">
      <c r="A68" s="113" t="s">
        <v>120</v>
      </c>
      <c r="B68" s="114">
        <v>16250.01</v>
      </c>
      <c r="C68" s="114">
        <v>26250.01</v>
      </c>
      <c r="D68" s="115">
        <v>5000</v>
      </c>
      <c r="E68" s="114"/>
      <c r="F68" s="115">
        <v>19583.349999999999</v>
      </c>
      <c r="G68" s="115"/>
      <c r="H68" s="115">
        <v>26250.01</v>
      </c>
      <c r="I68" s="114">
        <v>5000</v>
      </c>
      <c r="J68" s="115">
        <v>31250.01</v>
      </c>
      <c r="K68" s="115">
        <v>-11666.66</v>
      </c>
      <c r="L68" s="114">
        <v>5000</v>
      </c>
      <c r="M68" s="115">
        <v>26250.01</v>
      </c>
      <c r="N68" s="114"/>
      <c r="O68" s="115">
        <v>19583.349999999999</v>
      </c>
    </row>
    <row r="69" spans="1:15" s="66" customFormat="1">
      <c r="A69" s="113" t="s">
        <v>121</v>
      </c>
      <c r="B69" s="114">
        <v>1243.1199999999999</v>
      </c>
      <c r="C69" s="114">
        <v>1927.86</v>
      </c>
      <c r="D69" s="115"/>
      <c r="E69" s="114"/>
      <c r="F69" s="114">
        <v>1927.82</v>
      </c>
      <c r="G69" s="114"/>
      <c r="H69" s="115">
        <v>1939.86</v>
      </c>
      <c r="I69" s="114"/>
      <c r="J69" s="114">
        <v>1927.84</v>
      </c>
      <c r="K69" s="114"/>
      <c r="L69" s="114"/>
      <c r="M69" s="114">
        <v>1939.85</v>
      </c>
      <c r="N69" s="114"/>
      <c r="O69" s="114">
        <v>1927.85</v>
      </c>
    </row>
    <row r="70" spans="1:15" s="66" customFormat="1">
      <c r="A70" s="113" t="s">
        <v>206</v>
      </c>
      <c r="B70" s="114"/>
      <c r="C70" s="114">
        <v>16</v>
      </c>
      <c r="D70" s="115">
        <v>91.25</v>
      </c>
      <c r="E70" s="114"/>
      <c r="F70" s="115"/>
      <c r="G70" s="115"/>
      <c r="H70" s="115">
        <v>4</v>
      </c>
      <c r="I70" s="114"/>
      <c r="J70" s="114"/>
      <c r="K70" s="114"/>
      <c r="L70" s="114"/>
      <c r="M70" s="114">
        <v>4</v>
      </c>
      <c r="N70" s="114"/>
      <c r="O70" s="114"/>
    </row>
    <row r="71" spans="1:15" s="66" customFormat="1">
      <c r="A71" s="113" t="s">
        <v>122</v>
      </c>
      <c r="B71" s="114"/>
      <c r="C71" s="114"/>
      <c r="D71" s="115"/>
      <c r="E71" s="114"/>
      <c r="F71" s="115"/>
      <c r="G71" s="115"/>
      <c r="H71" s="115"/>
      <c r="I71" s="115"/>
      <c r="J71" s="115">
        <v>130</v>
      </c>
      <c r="K71" s="114"/>
      <c r="L71" s="114"/>
      <c r="M71" s="115"/>
      <c r="N71" s="114"/>
      <c r="O71" s="115"/>
    </row>
    <row r="72" spans="1:15" s="66" customFormat="1">
      <c r="A72" s="113" t="s">
        <v>123</v>
      </c>
      <c r="B72" s="115">
        <v>172.37</v>
      </c>
      <c r="C72" s="114"/>
      <c r="D72" s="115"/>
      <c r="E72" s="114"/>
      <c r="F72" s="115"/>
      <c r="G72" s="115">
        <v>172.37</v>
      </c>
      <c r="H72" s="115"/>
      <c r="I72" s="115"/>
      <c r="J72" s="115"/>
      <c r="K72" s="114"/>
      <c r="L72" s="114"/>
      <c r="M72" s="114"/>
      <c r="N72" s="115">
        <v>172.37</v>
      </c>
      <c r="O72" s="114"/>
    </row>
    <row r="73" spans="1:15" s="66" customFormat="1">
      <c r="A73" s="113" t="s">
        <v>124</v>
      </c>
      <c r="B73" s="114">
        <v>71</v>
      </c>
      <c r="C73" s="115"/>
      <c r="D73" s="114"/>
      <c r="E73" s="114"/>
      <c r="F73" s="114">
        <v>71</v>
      </c>
      <c r="G73" s="115"/>
      <c r="H73" s="114"/>
      <c r="I73" s="114"/>
      <c r="J73" s="114"/>
      <c r="K73" s="114">
        <v>71</v>
      </c>
      <c r="L73" s="114"/>
      <c r="M73" s="114"/>
      <c r="N73" s="114"/>
      <c r="O73" s="114"/>
    </row>
    <row r="74" spans="1:15" s="66" customFormat="1">
      <c r="A74" s="113" t="s">
        <v>125</v>
      </c>
      <c r="B74" s="115">
        <v>17736.5</v>
      </c>
      <c r="C74" s="114">
        <v>28193.87</v>
      </c>
      <c r="D74" s="114">
        <v>5091.25</v>
      </c>
      <c r="E74" s="114">
        <v>0</v>
      </c>
      <c r="F74" s="114">
        <v>21582.17</v>
      </c>
      <c r="G74" s="115">
        <v>172.37</v>
      </c>
      <c r="H74" s="114">
        <v>28193.87</v>
      </c>
      <c r="I74" s="114">
        <v>5000</v>
      </c>
      <c r="J74" s="114">
        <v>33307.85</v>
      </c>
      <c r="K74" s="114">
        <v>-11595.66</v>
      </c>
      <c r="L74" s="115">
        <v>5000</v>
      </c>
      <c r="M74" s="114">
        <v>28193.859999999997</v>
      </c>
      <c r="N74" s="114">
        <v>172.37</v>
      </c>
      <c r="O74" s="114">
        <v>21511.199999999997</v>
      </c>
    </row>
    <row r="75" spans="1:15" s="66" customFormat="1">
      <c r="A75" s="113" t="s">
        <v>7</v>
      </c>
      <c r="B75" s="116">
        <v>0</v>
      </c>
      <c r="C75" s="116">
        <v>0</v>
      </c>
      <c r="D75" s="116">
        <v>0</v>
      </c>
      <c r="E75" s="116">
        <v>0</v>
      </c>
      <c r="F75" s="116">
        <v>0</v>
      </c>
      <c r="G75" s="116">
        <v>0</v>
      </c>
      <c r="H75" s="116">
        <v>0</v>
      </c>
      <c r="I75" s="116">
        <v>0</v>
      </c>
      <c r="J75" s="116">
        <v>0</v>
      </c>
      <c r="K75" s="116">
        <v>0</v>
      </c>
      <c r="L75" s="116">
        <v>0</v>
      </c>
      <c r="M75" s="116">
        <v>0</v>
      </c>
      <c r="N75" s="116">
        <v>160</v>
      </c>
      <c r="O75" s="116">
        <v>0</v>
      </c>
    </row>
    <row r="76" spans="1:15" s="66" customFormat="1">
      <c r="A76" s="113" t="s">
        <v>8</v>
      </c>
      <c r="B76" s="114">
        <v>24552.23</v>
      </c>
      <c r="C76" s="114">
        <v>47398.369999999995</v>
      </c>
      <c r="D76" s="114">
        <v>15308.810000000001</v>
      </c>
      <c r="E76" s="114">
        <v>4108.92</v>
      </c>
      <c r="F76" s="114">
        <v>27827.43</v>
      </c>
      <c r="G76" s="114">
        <v>20132.37</v>
      </c>
      <c r="H76" s="114">
        <v>33877.660000000003</v>
      </c>
      <c r="I76" s="115">
        <v>6764.78</v>
      </c>
      <c r="J76" s="114">
        <v>38081.78</v>
      </c>
      <c r="K76" s="114">
        <v>-9254.4399999999987</v>
      </c>
      <c r="L76" s="114">
        <v>14208.42</v>
      </c>
      <c r="M76" s="114">
        <v>31331.369999999995</v>
      </c>
      <c r="N76" s="115">
        <v>5809.0999999999995</v>
      </c>
      <c r="O76" s="114">
        <v>23601.01</v>
      </c>
    </row>
    <row r="77" spans="1:15" s="66" customFormat="1">
      <c r="A77" s="113" t="s">
        <v>9</v>
      </c>
      <c r="B77" s="116">
        <v>-24552.23</v>
      </c>
      <c r="C77" s="116">
        <v>-47398.369999999995</v>
      </c>
      <c r="D77" s="116">
        <v>-15308.810000000001</v>
      </c>
      <c r="E77" s="116">
        <v>-4108.92</v>
      </c>
      <c r="F77" s="116">
        <v>-27827.43</v>
      </c>
      <c r="G77" s="116">
        <v>-20132.37</v>
      </c>
      <c r="H77" s="116">
        <v>-33877.660000000003</v>
      </c>
      <c r="I77" s="116">
        <v>-6764.78</v>
      </c>
      <c r="J77" s="116">
        <v>-38081.78</v>
      </c>
      <c r="K77" s="116">
        <v>9254.4399999999987</v>
      </c>
      <c r="L77" s="116">
        <v>-14208.42</v>
      </c>
      <c r="M77" s="116">
        <v>-31331.369999999995</v>
      </c>
      <c r="N77" s="116">
        <v>-5809.0999999999995</v>
      </c>
      <c r="O77" s="116">
        <v>-23601.01</v>
      </c>
    </row>
    <row r="78" spans="1:15" s="66" customFormat="1">
      <c r="A78" s="113" t="s">
        <v>10</v>
      </c>
      <c r="B78" s="116">
        <v>0</v>
      </c>
      <c r="C78" s="116">
        <v>0</v>
      </c>
      <c r="D78" s="116">
        <v>0</v>
      </c>
      <c r="E78" s="116">
        <v>0</v>
      </c>
      <c r="F78" s="116">
        <v>0</v>
      </c>
      <c r="G78" s="116">
        <v>0</v>
      </c>
      <c r="H78" s="116">
        <v>0</v>
      </c>
      <c r="I78" s="116">
        <v>0</v>
      </c>
      <c r="J78" s="116">
        <v>0</v>
      </c>
      <c r="K78" s="116">
        <v>0</v>
      </c>
      <c r="L78" s="116">
        <v>0</v>
      </c>
      <c r="M78" s="116">
        <v>0</v>
      </c>
      <c r="N78" s="116">
        <v>0</v>
      </c>
      <c r="O78" s="116">
        <v>0</v>
      </c>
    </row>
    <row r="79" spans="1:15" s="66" customFormat="1">
      <c r="A79" s="113" t="s">
        <v>81</v>
      </c>
      <c r="B79" s="114">
        <v>0</v>
      </c>
      <c r="C79" s="114">
        <v>0</v>
      </c>
      <c r="D79" s="114">
        <v>0</v>
      </c>
      <c r="E79" s="114">
        <v>0</v>
      </c>
      <c r="F79" s="114">
        <v>0</v>
      </c>
      <c r="G79" s="114">
        <v>305.01</v>
      </c>
      <c r="H79" s="114">
        <v>0</v>
      </c>
      <c r="I79" s="114">
        <v>0</v>
      </c>
      <c r="J79" s="114">
        <v>0</v>
      </c>
      <c r="K79" s="114">
        <v>305.01</v>
      </c>
      <c r="L79" s="114">
        <v>0</v>
      </c>
      <c r="M79" s="114">
        <v>0</v>
      </c>
      <c r="N79" s="114">
        <v>0</v>
      </c>
      <c r="O79" s="114">
        <v>305.01</v>
      </c>
    </row>
    <row r="80" spans="1:15" s="66" customFormat="1">
      <c r="A80" s="113" t="s">
        <v>82</v>
      </c>
      <c r="B80" s="114">
        <v>0</v>
      </c>
      <c r="C80" s="114">
        <v>0</v>
      </c>
      <c r="D80" s="114">
        <v>303.22000000000003</v>
      </c>
      <c r="E80" s="114">
        <v>0</v>
      </c>
      <c r="F80" s="114">
        <v>0</v>
      </c>
      <c r="G80" s="115">
        <v>353.91</v>
      </c>
      <c r="H80" s="114">
        <v>238.4</v>
      </c>
      <c r="I80" s="114">
        <v>74.56</v>
      </c>
      <c r="J80" s="114">
        <v>0</v>
      </c>
      <c r="K80" s="115">
        <v>104.77</v>
      </c>
      <c r="L80" s="114">
        <v>125.79</v>
      </c>
      <c r="M80" s="114">
        <v>204.42</v>
      </c>
      <c r="N80" s="114">
        <v>903.29</v>
      </c>
      <c r="O80" s="115">
        <v>100.71</v>
      </c>
    </row>
    <row r="81" spans="1:15" s="66" customFormat="1">
      <c r="A81" s="113" t="s">
        <v>11</v>
      </c>
      <c r="B81" s="114">
        <v>0</v>
      </c>
      <c r="C81" s="114">
        <v>0</v>
      </c>
      <c r="D81" s="115">
        <v>303.22000000000003</v>
      </c>
      <c r="E81" s="114">
        <v>0</v>
      </c>
      <c r="F81" s="114">
        <v>0</v>
      </c>
      <c r="G81" s="115">
        <v>658.92000000000007</v>
      </c>
      <c r="H81" s="115">
        <v>238.4</v>
      </c>
      <c r="I81" s="115">
        <v>74.56</v>
      </c>
      <c r="J81" s="114">
        <v>0</v>
      </c>
      <c r="K81" s="115">
        <v>409.78</v>
      </c>
      <c r="L81" s="115">
        <v>125.79</v>
      </c>
      <c r="M81" s="115">
        <v>204.42</v>
      </c>
      <c r="N81" s="115">
        <v>903.29</v>
      </c>
      <c r="O81" s="115">
        <v>405.71999999999997</v>
      </c>
    </row>
    <row r="82" spans="1:15" s="66" customFormat="1">
      <c r="A82" s="113" t="s">
        <v>12</v>
      </c>
      <c r="B82" s="116">
        <v>0</v>
      </c>
      <c r="C82" s="116">
        <v>0</v>
      </c>
      <c r="D82" s="116">
        <v>-303.22000000000003</v>
      </c>
      <c r="E82" s="116">
        <v>0</v>
      </c>
      <c r="F82" s="116">
        <v>0</v>
      </c>
      <c r="G82" s="116">
        <v>-658.92000000000007</v>
      </c>
      <c r="H82" s="116">
        <v>-238.4</v>
      </c>
      <c r="I82" s="116">
        <v>-74.56</v>
      </c>
      <c r="J82" s="116">
        <v>0</v>
      </c>
      <c r="K82" s="116">
        <v>-409.78</v>
      </c>
      <c r="L82" s="116">
        <v>-125.79</v>
      </c>
      <c r="M82" s="116">
        <v>-204.42</v>
      </c>
      <c r="N82" s="116">
        <v>-903.29</v>
      </c>
      <c r="O82" s="116">
        <v>-405.71999999999997</v>
      </c>
    </row>
    <row r="83" spans="1:15" s="66" customFormat="1">
      <c r="A83" s="113" t="s">
        <v>13</v>
      </c>
      <c r="B83" s="116">
        <v>-24552.23</v>
      </c>
      <c r="C83" s="116">
        <v>-47398.369999999995</v>
      </c>
      <c r="D83" s="116">
        <v>-15612.03</v>
      </c>
      <c r="E83" s="116">
        <v>-4108.92</v>
      </c>
      <c r="F83" s="116">
        <v>-27827.43</v>
      </c>
      <c r="G83" s="116">
        <v>-20791.29</v>
      </c>
      <c r="H83" s="116">
        <v>-34116.060000000005</v>
      </c>
      <c r="I83" s="116">
        <v>-6839.34</v>
      </c>
      <c r="J83" s="116">
        <v>-38081.78</v>
      </c>
      <c r="K83" s="116">
        <v>8844.659999999998</v>
      </c>
      <c r="L83" s="116">
        <v>-14334.210000000001</v>
      </c>
      <c r="M83" s="116">
        <v>-31535.789999999994</v>
      </c>
      <c r="N83" s="116">
        <v>-6712.3899999999994</v>
      </c>
      <c r="O83" s="116">
        <v>-24006.73</v>
      </c>
    </row>
    <row r="84" spans="1:15">
      <c r="A84" s="56"/>
      <c r="B84" s="3"/>
      <c r="C84" s="3"/>
      <c r="D84" s="3"/>
      <c r="E84" s="3"/>
      <c r="F84" s="3"/>
      <c r="G84" s="3"/>
      <c r="H84" s="3"/>
      <c r="I84" s="3"/>
      <c r="J84" s="3"/>
      <c r="K84" s="3"/>
      <c r="L84" s="3"/>
      <c r="M84" s="3"/>
      <c r="N84" s="3"/>
      <c r="O84" s="3"/>
    </row>
    <row r="87" spans="1:15">
      <c r="A87" s="178" t="s">
        <v>207</v>
      </c>
      <c r="B87" s="179"/>
      <c r="C87" s="179"/>
      <c r="D87" s="179"/>
      <c r="E87" s="179"/>
      <c r="F87" s="179"/>
      <c r="G87" s="179"/>
      <c r="H87" s="179"/>
      <c r="I87" s="179"/>
      <c r="J87" s="179"/>
      <c r="K87" s="179"/>
      <c r="L87" s="179"/>
      <c r="M87" s="179"/>
      <c r="N87" s="179"/>
      <c r="O87" s="179"/>
    </row>
  </sheetData>
  <mergeCells count="4">
    <mergeCell ref="A1:O1"/>
    <mergeCell ref="A2:O2"/>
    <mergeCell ref="A3:O3"/>
    <mergeCell ref="A87:O8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Cash Flow by Week</vt:lpstr>
      <vt:lpstr>P&amp;L Forecast by Week</vt:lpstr>
      <vt:lpstr>P&amp;L by Week Actual (Notated)</vt:lpstr>
      <vt:lpstr>T&amp;E Budget</vt:lpstr>
      <vt:lpstr>Headcount Budget</vt:lpstr>
      <vt:lpstr>AP Aging Detail</vt:lpstr>
      <vt:lpstr>P&amp;L by Week Actuals</vt:lpstr>
      <vt:lpstr>'AP Aging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 Rybka</cp:lastModifiedBy>
  <cp:lastPrinted>2016-06-21T14:20:37Z</cp:lastPrinted>
  <dcterms:created xsi:type="dcterms:W3CDTF">2016-02-03T21:18:00Z</dcterms:created>
  <dcterms:modified xsi:type="dcterms:W3CDTF">2018-04-27T16:48:27Z</dcterms:modified>
</cp:coreProperties>
</file>